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doas.ga.gov/assets/State Purchasing/Process Improvement Documents/"/>
    </mc:Choice>
  </mc:AlternateContent>
  <bookViews>
    <workbookView xWindow="0" yWindow="0" windowWidth="18810" windowHeight="6885" firstSheet="1" activeTab="1"/>
  </bookViews>
  <sheets>
    <sheet name="Acerno_Cache_XXXXX" sheetId="8" state="veryHidden" r:id="rId1"/>
    <sheet name="Solicitation Information" sheetId="6" r:id="rId2"/>
    <sheet name="RFQ Scorecard" sheetId="4" r:id="rId3"/>
    <sheet name="Resources" sheetId="7" r:id="rId4"/>
  </sheets>
  <definedNames>
    <definedName name="_xlnm._FilterDatabase" localSheetId="2" hidden="1">'RFQ Scorecard'!$C$1:$C$57</definedName>
    <definedName name="answer_status">'RFQ Scorecard'!$M:$M</definedName>
    <definedName name="comp_level">'RFQ Scorecard'!$E:$E</definedName>
    <definedName name="drop_downs">'RFQ Scorecard'!$E$5:$E$49</definedName>
    <definedName name="gap">'RFQ Scorecard'!$K:$K</definedName>
    <definedName name="gpm_pts">'Solicitation Information'!$C$14</definedName>
    <definedName name="law_pts">'Solicitation Information'!$C$13</definedName>
    <definedName name="lost">'RFQ Scorecard'!$L:$L</definedName>
    <definedName name="max_score">'RFQ Scorecard'!$G:$G</definedName>
    <definedName name="not_started">'RFQ Scorecard'!$Q$8</definedName>
    <definedName name="optional">'Solicitation Information'!$C$16</definedName>
    <definedName name="_xlnm.Print_Area" localSheetId="2">'RFQ Scorecard'!$A$1:$H$54</definedName>
    <definedName name="_xlnm.Print_Area" localSheetId="1">'Solicitation Information'!$A$1:$K$17</definedName>
    <definedName name="_xlnm.Print_Titles" localSheetId="2">'RFQ Scorecard'!$3:$3</definedName>
    <definedName name="ref_type">'Solicitation Information'!$A$13:$A$16</definedName>
    <definedName name="reference">'RFQ Scorecard'!$C:$C</definedName>
    <definedName name="score">'RFQ Scorecard'!$F:$F</definedName>
    <definedName name="scored">'RFQ Scorecard'!$J:$J</definedName>
    <definedName name="trng_pts">'Solicitation Information'!$C$15</definedName>
  </definedNames>
  <calcPr calcId="171027"/>
</workbook>
</file>

<file path=xl/calcChain.xml><?xml version="1.0" encoding="utf-8"?>
<calcChain xmlns="http://schemas.openxmlformats.org/spreadsheetml/2006/main">
  <c r="M15" i="4" l="1"/>
  <c r="M16" i="4"/>
  <c r="M17" i="4"/>
  <c r="M18" i="4"/>
  <c r="M14" i="4"/>
  <c r="F22" i="4" l="1"/>
  <c r="K24" i="4"/>
  <c r="F50" i="4"/>
  <c r="E7" i="6" l="1"/>
  <c r="E6" i="6"/>
  <c r="F31" i="4" l="1"/>
  <c r="G18" i="4"/>
  <c r="G17" i="4"/>
  <c r="G16" i="4"/>
  <c r="G15" i="4"/>
  <c r="G14" i="4"/>
  <c r="K14" i="4"/>
  <c r="F13" i="4"/>
  <c r="M24" i="4" l="1"/>
  <c r="G24" i="4"/>
  <c r="F24" i="4"/>
  <c r="L24" i="4" s="1"/>
  <c r="M53" i="4" l="1"/>
  <c r="M52" i="4"/>
  <c r="M51" i="4"/>
  <c r="M33" i="4"/>
  <c r="M32" i="4"/>
  <c r="G33" i="4" l="1"/>
  <c r="G32" i="4"/>
  <c r="G53" i="4"/>
  <c r="G52" i="4"/>
  <c r="G51" i="4"/>
  <c r="K54" i="4"/>
  <c r="M38" i="4"/>
  <c r="K38" i="4"/>
  <c r="M37" i="4"/>
  <c r="K37" i="4"/>
  <c r="M36" i="4"/>
  <c r="K36" i="4"/>
  <c r="K28" i="4"/>
  <c r="M28" i="4"/>
  <c r="K23" i="4" l="1"/>
  <c r="M21" i="4"/>
  <c r="K21" i="4"/>
  <c r="F14" i="4"/>
  <c r="L14" i="4" s="1"/>
  <c r="K15" i="4"/>
  <c r="F15" i="4"/>
  <c r="K12" i="4"/>
  <c r="K46" i="4"/>
  <c r="M46" i="4"/>
  <c r="K33" i="4"/>
  <c r="K9" i="4"/>
  <c r="M9" i="4"/>
  <c r="M54" i="4"/>
  <c r="K53" i="4"/>
  <c r="K52" i="4"/>
  <c r="K51" i="4"/>
  <c r="M49" i="4"/>
  <c r="K49" i="4"/>
  <c r="M48" i="4"/>
  <c r="K48" i="4"/>
  <c r="M47" i="4"/>
  <c r="K47" i="4"/>
  <c r="M45" i="4"/>
  <c r="K45" i="4"/>
  <c r="M44" i="4"/>
  <c r="K44" i="4"/>
  <c r="M42" i="4"/>
  <c r="K42" i="4"/>
  <c r="M34" i="4"/>
  <c r="K34" i="4"/>
  <c r="M41" i="4"/>
  <c r="K41" i="4"/>
  <c r="M40" i="4"/>
  <c r="K40" i="4"/>
  <c r="M39" i="4"/>
  <c r="K39" i="4"/>
  <c r="K32" i="4"/>
  <c r="M6" i="4"/>
  <c r="K6" i="4"/>
  <c r="M30" i="4"/>
  <c r="K30" i="4"/>
  <c r="M20" i="4"/>
  <c r="K20" i="4"/>
  <c r="M27" i="4"/>
  <c r="K27" i="4"/>
  <c r="M26" i="4"/>
  <c r="K26" i="4"/>
  <c r="M25" i="4"/>
  <c r="K25" i="4"/>
  <c r="M23" i="4"/>
  <c r="M22" i="4"/>
  <c r="K22" i="4"/>
  <c r="K16" i="4"/>
  <c r="M19" i="4"/>
  <c r="K19" i="4"/>
  <c r="K18" i="4"/>
  <c r="K17" i="4"/>
  <c r="M12" i="4"/>
  <c r="M11" i="4"/>
  <c r="K11" i="4"/>
  <c r="M10" i="4"/>
  <c r="K10" i="4"/>
  <c r="M8" i="4"/>
  <c r="K8" i="4"/>
  <c r="M5" i="4"/>
  <c r="K5" i="4"/>
  <c r="Q8" i="4" l="1"/>
  <c r="L15" i="4"/>
  <c r="Q5" i="4"/>
  <c r="Q6" i="4" l="1"/>
  <c r="H16" i="6"/>
  <c r="G54" i="4" l="1"/>
  <c r="G9" i="4"/>
  <c r="F9" i="4" s="1"/>
  <c r="G10" i="4"/>
  <c r="F10" i="4" s="1"/>
  <c r="G11" i="4"/>
  <c r="F11" i="4" s="1"/>
  <c r="G12" i="4"/>
  <c r="F12" i="4" s="1"/>
  <c r="L10" i="4" l="1"/>
  <c r="F17" i="4"/>
  <c r="L17" i="4" s="1"/>
  <c r="L11" i="4"/>
  <c r="L9" i="4"/>
  <c r="F54" i="4"/>
  <c r="L12" i="4"/>
  <c r="F32" i="4"/>
  <c r="L32" i="4" s="1"/>
  <c r="G49" i="4"/>
  <c r="G48" i="4"/>
  <c r="G47" i="4"/>
  <c r="G46" i="4"/>
  <c r="G45" i="4"/>
  <c r="G44" i="4"/>
  <c r="G42" i="4"/>
  <c r="G34" i="4"/>
  <c r="G41" i="4"/>
  <c r="G40" i="4"/>
  <c r="G39" i="4"/>
  <c r="G38" i="4"/>
  <c r="G37" i="4"/>
  <c r="G36" i="4"/>
  <c r="G28" i="4"/>
  <c r="G30" i="4"/>
  <c r="G6" i="4"/>
  <c r="G26" i="4"/>
  <c r="G27" i="4"/>
  <c r="G20" i="4"/>
  <c r="G22" i="4"/>
  <c r="G23" i="4"/>
  <c r="G21" i="4"/>
  <c r="G19" i="4"/>
  <c r="F19" i="4" s="1"/>
  <c r="G5" i="4"/>
  <c r="G8" i="4"/>
  <c r="F8" i="4" s="1"/>
  <c r="L54" i="4" l="1"/>
  <c r="F40" i="4"/>
  <c r="L40" i="4" s="1"/>
  <c r="F39" i="4"/>
  <c r="L39" i="4" s="1"/>
  <c r="F38" i="4"/>
  <c r="L38" i="4" s="1"/>
  <c r="L22" i="4" l="1"/>
  <c r="F45" i="4" l="1"/>
  <c r="L45" i="4" s="1"/>
  <c r="F46" i="4"/>
  <c r="L46" i="4" s="1"/>
  <c r="F53" i="4"/>
  <c r="L53" i="4" s="1"/>
  <c r="F41" i="4"/>
  <c r="L41" i="4" s="1"/>
  <c r="F42" i="4"/>
  <c r="L42" i="4" s="1"/>
  <c r="F36" i="4"/>
  <c r="L36" i="4" s="1"/>
  <c r="F28" i="4"/>
  <c r="L28" i="4" s="1"/>
  <c r="F33" i="4"/>
  <c r="L33" i="4" s="1"/>
  <c r="F21" i="4"/>
  <c r="L21" i="4" s="1"/>
  <c r="F5" i="4"/>
  <c r="L5" i="4" s="1"/>
  <c r="L8" i="4" l="1"/>
  <c r="I14" i="6"/>
  <c r="F34" i="4"/>
  <c r="L34" i="4" s="1"/>
  <c r="F37" i="4"/>
  <c r="L37" i="4" s="1"/>
  <c r="F6" i="4"/>
  <c r="L6" i="4" s="1"/>
  <c r="F30" i="4"/>
  <c r="L30" i="4" s="1"/>
  <c r="F20" i="4"/>
  <c r="L20" i="4" s="1"/>
  <c r="F27" i="4"/>
  <c r="L27" i="4" s="1"/>
  <c r="F26" i="4"/>
  <c r="L26" i="4" s="1"/>
  <c r="F23" i="4"/>
  <c r="L23" i="4" s="1"/>
  <c r="F16" i="4"/>
  <c r="L16" i="4" s="1"/>
  <c r="L19" i="4"/>
  <c r="F18" i="4"/>
  <c r="L18" i="4" s="1"/>
  <c r="F51" i="4"/>
  <c r="L51" i="4" s="1"/>
  <c r="F52" i="4"/>
  <c r="L52" i="4" s="1"/>
  <c r="F49" i="4" l="1"/>
  <c r="L49" i="4" s="1"/>
  <c r="F48" i="4"/>
  <c r="L48" i="4" s="1"/>
  <c r="F47" i="4"/>
  <c r="L47" i="4" s="1"/>
  <c r="F44" i="4"/>
  <c r="L44" i="4" s="1"/>
  <c r="G25" i="4" l="1"/>
  <c r="F25" i="4" l="1"/>
  <c r="L25" i="4" s="1"/>
  <c r="D13" i="6"/>
  <c r="E13" i="6" s="1"/>
  <c r="D15" i="6"/>
  <c r="E15" i="6" s="1"/>
  <c r="I13" i="6"/>
  <c r="D14" i="6" l="1"/>
  <c r="E14" i="6" s="1"/>
  <c r="E17" i="6" s="1"/>
  <c r="I15" i="6"/>
  <c r="J13" i="6" s="1"/>
  <c r="D17" i="6" l="1"/>
</calcChain>
</file>

<file path=xl/sharedStrings.xml><?xml version="1.0" encoding="utf-8"?>
<sst xmlns="http://schemas.openxmlformats.org/spreadsheetml/2006/main" count="310" uniqueCount="206">
  <si>
    <t>Requirements</t>
  </si>
  <si>
    <t>Compliance Level</t>
  </si>
  <si>
    <t>Comments</t>
  </si>
  <si>
    <t>6</t>
  </si>
  <si>
    <t>Were there any renewals?</t>
  </si>
  <si>
    <t>Resource Materials</t>
  </si>
  <si>
    <t>Question</t>
  </si>
  <si>
    <t>http://doas.ga.gov/state-purchasing/seven-stages-of-procurement</t>
  </si>
  <si>
    <t>http://doas.ga.gov/state-purchasing/seven-stages-of-procurement/stage-3-solicitation-preparation</t>
  </si>
  <si>
    <t>Buyer</t>
  </si>
  <si>
    <t>NIGP Codes</t>
  </si>
  <si>
    <t># of Responses</t>
  </si>
  <si>
    <t>Title</t>
  </si>
  <si>
    <t>Email</t>
  </si>
  <si>
    <t>Certification</t>
  </si>
  <si>
    <t>Reference</t>
  </si>
  <si>
    <t xml:space="preserve">Is there a Contract Amendment Template (SPD-CP013) present in the files?  </t>
  </si>
  <si>
    <t>Is there a completed Contract Assessment Report (SPD-CP019) present in the files?</t>
  </si>
  <si>
    <t>Score</t>
  </si>
  <si>
    <t>GPM 1.3.1.1</t>
  </si>
  <si>
    <t>Training</t>
  </si>
  <si>
    <t>GPM 4.5.9</t>
  </si>
  <si>
    <t>GPM 4.5.8</t>
  </si>
  <si>
    <t>GPM 3.5.2.3.1</t>
  </si>
  <si>
    <t>GPM 6.2.2.2</t>
  </si>
  <si>
    <t>GPM 3.5.5</t>
  </si>
  <si>
    <t>GPM 6.2.2.1, 6.2.2.2.</t>
  </si>
  <si>
    <t>Optional Procedure</t>
  </si>
  <si>
    <t>OCGA 13-10-91; GPM 3.5.1.3.</t>
  </si>
  <si>
    <t>GPM 7.8</t>
  </si>
  <si>
    <t>Reference Type</t>
  </si>
  <si>
    <t>GPM 3.5.5.1</t>
  </si>
  <si>
    <t>GPM 7.6.2</t>
  </si>
  <si>
    <t>GPM 7.5.2</t>
  </si>
  <si>
    <t>GPM 3.7</t>
  </si>
  <si>
    <t xml:space="preserve">Was the meeting scheduled no less than seven business days prior to the solicitation closing date?  </t>
  </si>
  <si>
    <t>Reviewed by</t>
  </si>
  <si>
    <t>GPM 3.5.9, 5.9.1</t>
  </si>
  <si>
    <t>GPM 3.6</t>
  </si>
  <si>
    <t>Yes</t>
  </si>
  <si>
    <t>Awarded Amount / Solicitation Type</t>
  </si>
  <si>
    <t>Solicitation # / Solicitation Name</t>
  </si>
  <si>
    <t xml:space="preserve">For questions concerning insurance and bonding, refer to the Insurance and Bonding Guidelines (Form SPD-SP048) found at: </t>
  </si>
  <si>
    <t xml:space="preserve">State entities are required to use current mandatory procurement forms and templates found at: </t>
  </si>
  <si>
    <t>Max Score</t>
  </si>
  <si>
    <t>Scored?</t>
  </si>
  <si>
    <t>Actual Score</t>
  </si>
  <si>
    <t>Rating</t>
  </si>
  <si>
    <t>Contract / Purchase Order Date</t>
  </si>
  <si>
    <t>Scoring Methodology</t>
  </si>
  <si>
    <t>Scoring</t>
  </si>
  <si>
    <t>Gap Status</t>
  </si>
  <si>
    <t># of Errors by Reference</t>
  </si>
  <si>
    <t>Max Points Based on Reference Type</t>
  </si>
  <si>
    <t>Lost Points</t>
  </si>
  <si>
    <t>Legal Issue</t>
  </si>
  <si>
    <r>
      <t xml:space="preserve">Enter requested information in blue cells.  Unshaded or </t>
    </r>
    <r>
      <rPr>
        <b/>
        <sz val="12"/>
        <color rgb="FFC00000"/>
        <rFont val="Calibri"/>
        <family val="2"/>
        <scheme val="minor"/>
      </rPr>
      <t>red</t>
    </r>
    <r>
      <rPr>
        <b/>
        <sz val="12"/>
        <color rgb="FF7030A0"/>
        <rFont val="Calibri"/>
        <family val="2"/>
        <scheme val="minor"/>
      </rPr>
      <t xml:space="preserve"> cells will populate based on information entered.</t>
    </r>
  </si>
  <si>
    <t>Ranges (Min / Max)</t>
  </si>
  <si>
    <t xml:space="preserve"> </t>
  </si>
  <si>
    <t>N/A</t>
  </si>
  <si>
    <t>Administrative Rules</t>
  </si>
  <si>
    <t>2</t>
  </si>
  <si>
    <t>Were the design and functionality of the solution addressed?</t>
  </si>
  <si>
    <t>Were manufacturing considerations of economical production addressed (e.g. shipping, delivery, packaging, assembly, etc.)?</t>
  </si>
  <si>
    <t>Can the requirements be perceived as restrictive or copied from an Offeror’s website or materials?</t>
  </si>
  <si>
    <t>3</t>
  </si>
  <si>
    <t>GPM 3.4, 3.5</t>
  </si>
  <si>
    <t>3a</t>
  </si>
  <si>
    <t>OCGA 50-5-67; GPM 3.5.1.1</t>
  </si>
  <si>
    <t>3b</t>
  </si>
  <si>
    <t>GPM 3.5.1.2 - 3.5.1.6</t>
  </si>
  <si>
    <t>3c</t>
  </si>
  <si>
    <t>State Personnel Board Rule 21</t>
  </si>
  <si>
    <t>3d</t>
  </si>
  <si>
    <t>Were appropriate insurance requirements included in the solicitation?</t>
  </si>
  <si>
    <t>GPM 4.5.7</t>
  </si>
  <si>
    <t>Were appropriate bonds required?</t>
  </si>
  <si>
    <t xml:space="preserve">Is there proof/documentation bonds were received in the required timeframe? </t>
  </si>
  <si>
    <t>4</t>
  </si>
  <si>
    <t>Was a sample contract attached that contains the minimum requirements of the solicitation?</t>
  </si>
  <si>
    <t>5</t>
  </si>
  <si>
    <t xml:space="preserve">Was the appropriate award language included? (i.e. award all or by category, number one ranked)  </t>
  </si>
  <si>
    <t>OCGA 13-10-91; GPM 3.51.3.</t>
  </si>
  <si>
    <t>7</t>
  </si>
  <si>
    <t>8</t>
  </si>
  <si>
    <t xml:space="preserve">Was the solicitation posted for the minimum required posting time? </t>
  </si>
  <si>
    <t>GPM 3.5.2.1</t>
  </si>
  <si>
    <t>GPM 2.3.1.</t>
  </si>
  <si>
    <t>Was a Pre-Bid Conference held?</t>
  </si>
  <si>
    <t>GPM 3.5.2.3.</t>
  </si>
  <si>
    <t xml:space="preserve">Was there a record of attendance for Pre-Bid Conference present in the files? (i.e. sign-in sheet) </t>
  </si>
  <si>
    <t>12</t>
  </si>
  <si>
    <t xml:space="preserve">Were all referenced attachments and/or comments included in the solicitation posting?  </t>
  </si>
  <si>
    <t>13</t>
  </si>
  <si>
    <t>For solicitations of $100,000 and above, was the Notice of Intent to Award (NOIA, Form SPD-AP004) posted to the GPR for 10 calendar days prior to posting the Notice of Award (NOA Form SPD-AP005)?</t>
  </si>
  <si>
    <t>14</t>
  </si>
  <si>
    <t xml:space="preserve">Was the Notice of Award (NOA) posted to the GPR at the required time (i.e. within one day of issuing a PO or executing a contract)? </t>
  </si>
  <si>
    <t>15</t>
  </si>
  <si>
    <r>
      <t xml:space="preserve">Were the NOIA (Form SPD-AP004) and NOA (Form SPD-AP005) completed correctly? 
</t>
    </r>
    <r>
      <rPr>
        <i/>
        <sz val="11"/>
        <rFont val="Calibri"/>
        <family val="2"/>
        <scheme val="minor"/>
      </rPr>
      <t>(Supplier’s Full Name, Initial Term/Award Amount, Unsuccessful Offerors, and Reasons for Rejection)</t>
    </r>
  </si>
  <si>
    <t>16</t>
  </si>
  <si>
    <t>If the NOIA process was used, was the apparent successful supplier posted on the NOA the same as the supplier listed on the NOIA?</t>
  </si>
  <si>
    <t>17</t>
  </si>
  <si>
    <t>Was the solicitation awarded to the lowest responsible and responsive bidder and has this been documented?</t>
  </si>
  <si>
    <t>GPM 5.6.3.1</t>
  </si>
  <si>
    <t>Were copies of bid tabulation forms present in the files?</t>
  </si>
  <si>
    <t>18</t>
  </si>
  <si>
    <t>If addenda were created, were they posted to the GPR?</t>
  </si>
  <si>
    <t>GPM 4.8.1.1.</t>
  </si>
  <si>
    <t>19</t>
  </si>
  <si>
    <t>Is the bid status current on the GPR?  (e.g. Under Evaluation, Open, Notice of Intent to Award, NOA, etc.)</t>
  </si>
  <si>
    <t>20</t>
  </si>
  <si>
    <t>Was there a signed Contract or Purchase Order, including Terms and Conditions, present in the files?</t>
  </si>
  <si>
    <t>GPM 7.2.1</t>
  </si>
  <si>
    <t>Was Proof of Insurance for contract period present in the files?</t>
  </si>
  <si>
    <t>Was warranty documentation present in the files?</t>
  </si>
  <si>
    <t>Was a service-level agreement present in the files?</t>
  </si>
  <si>
    <t>GPM 3.5.5.1.5</t>
  </si>
  <si>
    <t>21</t>
  </si>
  <si>
    <t>22</t>
  </si>
  <si>
    <t>Did purchases (POs/Vouchers/Etc.) exceed the awarded amount?</t>
  </si>
  <si>
    <t>1</t>
  </si>
  <si>
    <t>RFQ Posting  ─  Solicitation Information</t>
  </si>
  <si>
    <t>State Entity Code / State Entity Name</t>
  </si>
  <si>
    <t>Posting Date / Closing Date / # of Days Posted</t>
  </si>
  <si>
    <t>NOIA Date / NOA Date / # of Days Between</t>
  </si>
  <si>
    <t>Was there a protest? -&gt;</t>
  </si>
  <si>
    <t>Answer Status</t>
  </si>
  <si>
    <t>Were all appropriate forms, templates, and Terms and Conditions posted in this solicitation?</t>
  </si>
  <si>
    <t>Did SPD grant approval to post directly to the GPR?  Indicate date approval given in Comments field.</t>
  </si>
  <si>
    <t>23</t>
  </si>
  <si>
    <t>24</t>
  </si>
  <si>
    <t>25</t>
  </si>
  <si>
    <t>26</t>
  </si>
  <si>
    <t>27</t>
  </si>
  <si>
    <t>30</t>
  </si>
  <si>
    <t xml:space="preserve">Is there a Renewal Form (SPD-CP010) attached? </t>
  </si>
  <si>
    <t>Answered</t>
  </si>
  <si>
    <t>Total Questions</t>
  </si>
  <si>
    <t>6, 8</t>
  </si>
  <si>
    <t>RFQ Posting  ─  Evaluation</t>
  </si>
  <si>
    <t>Tier</t>
  </si>
  <si>
    <t>&gt;= 95%</t>
  </si>
  <si>
    <t>Excellent</t>
  </si>
  <si>
    <t>Tier I</t>
  </si>
  <si>
    <t>&gt;= 85%</t>
  </si>
  <si>
    <t>&lt;= 94%</t>
  </si>
  <si>
    <t>Acceptable</t>
  </si>
  <si>
    <t>&gt;= 75%</t>
  </si>
  <si>
    <t>&lt;= 84%</t>
  </si>
  <si>
    <t>Marginal</t>
  </si>
  <si>
    <t>Tier II</t>
  </si>
  <si>
    <t>&gt;= 60%</t>
  </si>
  <si>
    <t>&lt;= 74%</t>
  </si>
  <si>
    <t>Underperforming</t>
  </si>
  <si>
    <t>Tier III</t>
  </si>
  <si>
    <t>&lt;=59%</t>
  </si>
  <si>
    <t>Unsatisfactory</t>
  </si>
  <si>
    <t>Tier IV</t>
  </si>
  <si>
    <t>Explanation of Scoring</t>
  </si>
  <si>
    <t>Select the TYPE of Solicitation</t>
  </si>
  <si>
    <t>Is Buyer Certified? Select One.</t>
  </si>
  <si>
    <t xml:space="preserve">Was a non-collusion clause included?  </t>
  </si>
  <si>
    <t>Was Form SPD-SP042, Supplier General Information Worksheet, attached to the solicitation?</t>
  </si>
  <si>
    <t>Were the correct five-digit NIGP Code(s) (not ending in "00") used to appropriately market the solicitation?</t>
  </si>
  <si>
    <t xml:space="preserve">Was the State of Georgia's indemnification clause included in the solicitation? </t>
  </si>
  <si>
    <t>Solicitation Process (Stage 4)</t>
  </si>
  <si>
    <t>Need Identification &amp; Pre-Solicitation (Stages 1 &amp; 2)</t>
  </si>
  <si>
    <t>Solicitation Preparation (Stage 3)</t>
  </si>
  <si>
    <t>Evaluation &amp; Award (Stages 5 &amp; 6)</t>
  </si>
  <si>
    <t>Contract Process (Stage 7)</t>
  </si>
  <si>
    <t>Are no more than four renewal options specified?</t>
  </si>
  <si>
    <t>GPM 3.6.2</t>
  </si>
  <si>
    <t>I.3.3</t>
  </si>
  <si>
    <t>4a</t>
  </si>
  <si>
    <t>4b</t>
  </si>
  <si>
    <t>4c</t>
  </si>
  <si>
    <t>4d</t>
  </si>
  <si>
    <t>4e</t>
  </si>
  <si>
    <t>9</t>
  </si>
  <si>
    <t>Were procurement considerations of exemptions, markets, materials availability, supplier capabilities, and costs addressed?</t>
  </si>
  <si>
    <t xml:space="preserve">Were appropriate warranty requirements included in the solicitation? </t>
  </si>
  <si>
    <t>GPM 4.5.9;        Form SPD-SP048</t>
  </si>
  <si>
    <t>GPM 4.5.8;        Form SPD-SP048</t>
  </si>
  <si>
    <t xml:space="preserve">Were specifications clearly written, including the purpose and scope of the procurement?  </t>
  </si>
  <si>
    <t>28</t>
  </si>
  <si>
    <t>31</t>
  </si>
  <si>
    <t>32</t>
  </si>
  <si>
    <t>Was the solicitation posted directly to the GPR?</t>
  </si>
  <si>
    <t>If goods/services were available on a Mandatory SWC, was a Waiver from Statewide Contract granted prior to solicitation?</t>
  </si>
  <si>
    <t xml:space="preserve">Was a drug-free workplace clause included in the solicitation?  </t>
  </si>
  <si>
    <t>If applicable, was the Sole Brand Justification Form (SPD-PS019) completed correctly and posted?</t>
  </si>
  <si>
    <t>Not Started</t>
  </si>
  <si>
    <t>Select # of Bids Received</t>
  </si>
  <si>
    <t xml:space="preserve">Was there a protest? Select One. </t>
  </si>
  <si>
    <t>GPM 3.3.1</t>
  </si>
  <si>
    <t>10</t>
  </si>
  <si>
    <t>Select the appropriate responses from the drop-down list in column E.</t>
  </si>
  <si>
    <t>29</t>
  </si>
  <si>
    <t>Was a link to the Department of Audits Immigration Form included in the solicitation?</t>
  </si>
  <si>
    <t xml:space="preserve">Was a completed, notarized Department of Audits Immigration Form present in the files for all awarded suppliers?  </t>
  </si>
  <si>
    <t>11</t>
  </si>
  <si>
    <t>16a</t>
  </si>
  <si>
    <t>16b</t>
  </si>
  <si>
    <t>31a</t>
  </si>
  <si>
    <t>31b</t>
  </si>
  <si>
    <t>31c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</si>
</sst>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7030A0"/>
      <name val="Calibri"/>
      <family val="2"/>
      <scheme val="minor"/>
    </font>
    <font>
      <sz val="18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6EC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3" tint="0.59996337778862885"/>
        <bgColor theme="0" tint="-4.9989318521683403E-2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/>
      <top/>
      <bottom style="thin">
        <color theme="7" tint="-0.24994659260841701"/>
      </bottom>
      <diagonal/>
    </border>
    <border>
      <left/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/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rgb="FF0070C0"/>
      </left>
      <right style="thin">
        <color theme="0"/>
      </right>
      <top style="thin">
        <color rgb="FF0070C0"/>
      </top>
      <bottom/>
      <diagonal/>
    </border>
    <border>
      <left style="thin">
        <color theme="0"/>
      </left>
      <right style="thin">
        <color theme="0"/>
      </right>
      <top style="thin">
        <color rgb="FF0070C0"/>
      </top>
      <bottom/>
      <diagonal/>
    </border>
    <border>
      <left style="thin">
        <color theme="0"/>
      </left>
      <right style="thin">
        <color rgb="FF0070C0"/>
      </right>
      <top style="thin">
        <color rgb="FF0070C0"/>
      </top>
      <bottom/>
      <diagonal/>
    </border>
    <border>
      <left style="thin">
        <color rgb="FF006EC7"/>
      </left>
      <right style="thin">
        <color theme="0"/>
      </right>
      <top/>
      <bottom style="thin">
        <color rgb="FF006EC7"/>
      </bottom>
      <diagonal/>
    </border>
    <border>
      <left style="thin">
        <color theme="0"/>
      </left>
      <right style="thin">
        <color theme="0"/>
      </right>
      <top/>
      <bottom style="thin">
        <color rgb="FF006EC7"/>
      </bottom>
      <diagonal/>
    </border>
    <border>
      <left style="thin">
        <color theme="0"/>
      </left>
      <right style="thin">
        <color rgb="FF006EC7"/>
      </right>
      <top/>
      <bottom style="thin">
        <color rgb="FF006EC7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12" fillId="0" borderId="0"/>
    <xf numFmtId="0" fontId="17" fillId="3" borderId="2" applyNumberFormat="0" applyAlignment="0">
      <protection locked="0"/>
    </xf>
  </cellStyleXfs>
  <cellXfs count="141">
    <xf numFmtId="0" fontId="0" fillId="0" borderId="0" xfId="0"/>
    <xf numFmtId="0" fontId="3" fillId="0" borderId="2" xfId="0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top" wrapText="1"/>
    </xf>
    <xf numFmtId="9" fontId="6" fillId="0" borderId="2" xfId="2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vertical="top" wrapText="1"/>
    </xf>
    <xf numFmtId="0" fontId="6" fillId="0" borderId="2" xfId="0" applyFont="1" applyFill="1" applyBorder="1" applyAlignment="1" applyProtection="1">
      <alignment horizontal="right" vertical="center" wrapText="1"/>
    </xf>
    <xf numFmtId="0" fontId="17" fillId="3" borderId="2" xfId="4" applyAlignment="1">
      <alignment horizontal="left" vertical="top" wrapText="1"/>
      <protection locked="0"/>
    </xf>
    <xf numFmtId="0" fontId="17" fillId="3" borderId="2" xfId="4" applyAlignment="1">
      <alignment vertical="top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0" fillId="0" borderId="2" xfId="0" applyFill="1" applyBorder="1" applyAlignment="1" applyProtection="1">
      <alignment horizontal="center" vertical="center"/>
    </xf>
    <xf numFmtId="0" fontId="17" fillId="3" borderId="2" xfId="4" applyNumberFormat="1" applyAlignment="1">
      <alignment horizontal="center" vertical="center" wrapText="1"/>
      <protection locked="0"/>
    </xf>
    <xf numFmtId="44" fontId="17" fillId="3" borderId="2" xfId="4" applyNumberFormat="1" applyAlignment="1">
      <alignment horizontal="right" vertical="center" wrapText="1"/>
      <protection locked="0"/>
    </xf>
    <xf numFmtId="14" fontId="17" fillId="3" borderId="2" xfId="4" applyNumberFormat="1" applyAlignment="1">
      <alignment horizontal="center" vertical="center" wrapText="1"/>
      <protection locked="0"/>
    </xf>
    <xf numFmtId="49" fontId="17" fillId="3" borderId="2" xfId="4" applyNumberFormat="1" applyAlignment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</xf>
    <xf numFmtId="9" fontId="0" fillId="0" borderId="2" xfId="2" applyFont="1" applyBorder="1" applyAlignment="1" applyProtection="1">
      <alignment vertical="center"/>
    </xf>
    <xf numFmtId="0" fontId="14" fillId="0" borderId="2" xfId="0" applyFont="1" applyFill="1" applyBorder="1" applyAlignment="1" applyProtection="1">
      <alignment vertical="top" wrapText="1"/>
    </xf>
    <xf numFmtId="0" fontId="14" fillId="0" borderId="2" xfId="0" applyFont="1" applyFill="1" applyBorder="1" applyAlignment="1" applyProtection="1">
      <alignment horizontal="center" vertical="top" wrapText="1"/>
    </xf>
    <xf numFmtId="0" fontId="6" fillId="0" borderId="2" xfId="0" applyFont="1" applyFill="1" applyBorder="1" applyAlignment="1" applyProtection="1">
      <alignment horizontal="center" vertical="top" wrapText="1"/>
    </xf>
    <xf numFmtId="0" fontId="6" fillId="7" borderId="2" xfId="0" applyFont="1" applyFill="1" applyBorder="1" applyAlignment="1" applyProtection="1">
      <alignment horizontal="center" vertical="top" wrapText="1"/>
    </xf>
    <xf numFmtId="0" fontId="16" fillId="0" borderId="2" xfId="0" applyFont="1" applyFill="1" applyBorder="1" applyAlignment="1" applyProtection="1">
      <alignment vertical="center" wrapText="1"/>
    </xf>
    <xf numFmtId="14" fontId="17" fillId="3" borderId="2" xfId="4" applyNumberFormat="1" applyAlignment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top" wrapText="1"/>
    </xf>
    <xf numFmtId="0" fontId="17" fillId="3" borderId="2" xfId="4" applyAlignment="1">
      <alignment horizontal="center" vertical="top" wrapText="1"/>
      <protection locked="0"/>
    </xf>
    <xf numFmtId="0" fontId="17" fillId="3" borderId="2" xfId="4" applyFill="1" applyAlignment="1">
      <alignment horizontal="center" vertical="top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center" vertical="center" wrapText="1"/>
    </xf>
    <xf numFmtId="0" fontId="15" fillId="5" borderId="5" xfId="0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top" wrapText="1"/>
    </xf>
    <xf numFmtId="0" fontId="17" fillId="3" borderId="2" xfId="4" applyAlignment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</xf>
    <xf numFmtId="0" fontId="20" fillId="6" borderId="8" xfId="3" applyFont="1" applyFill="1" applyBorder="1" applyAlignment="1" applyProtection="1">
      <alignment horizontal="center" vertical="center" wrapText="1"/>
    </xf>
    <xf numFmtId="0" fontId="20" fillId="2" borderId="8" xfId="3" applyFont="1" applyFill="1" applyBorder="1" applyAlignment="1" applyProtection="1">
      <alignment vertical="center" wrapText="1"/>
    </xf>
    <xf numFmtId="0" fontId="21" fillId="2" borderId="8" xfId="3" applyFont="1" applyFill="1" applyBorder="1" applyProtection="1"/>
    <xf numFmtId="0" fontId="4" fillId="2" borderId="8" xfId="3" applyFont="1" applyFill="1" applyBorder="1" applyAlignment="1" applyProtection="1">
      <alignment horizontal="center" vertical="center" wrapText="1"/>
    </xf>
    <xf numFmtId="0" fontId="22" fillId="2" borderId="8" xfId="3" applyFont="1" applyFill="1" applyBorder="1" applyAlignment="1" applyProtection="1">
      <alignment vertical="center" wrapText="1"/>
    </xf>
    <xf numFmtId="0" fontId="23" fillId="0" borderId="8" xfId="1" applyFont="1" applyBorder="1" applyAlignment="1" applyProtection="1">
      <alignment horizontal="left" vertical="top" wrapText="1"/>
    </xf>
    <xf numFmtId="0" fontId="24" fillId="0" borderId="8" xfId="3" applyFont="1" applyBorder="1" applyAlignment="1">
      <alignment vertical="top" wrapText="1"/>
    </xf>
    <xf numFmtId="0" fontId="23" fillId="2" borderId="8" xfId="1" applyFont="1" applyFill="1" applyBorder="1" applyAlignment="1" applyProtection="1">
      <alignment vertical="top" wrapText="1"/>
    </xf>
    <xf numFmtId="0" fontId="21" fillId="0" borderId="8" xfId="3" applyFont="1" applyBorder="1"/>
    <xf numFmtId="0" fontId="26" fillId="4" borderId="20" xfId="0" applyFont="1" applyFill="1" applyBorder="1" applyAlignment="1" applyProtection="1">
      <alignment horizontal="center"/>
    </xf>
    <xf numFmtId="9" fontId="0" fillId="0" borderId="18" xfId="2" applyFont="1" applyBorder="1" applyAlignment="1" applyProtection="1">
      <alignment horizontal="center"/>
    </xf>
    <xf numFmtId="9" fontId="0" fillId="0" borderId="19" xfId="2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9" fontId="0" fillId="0" borderId="23" xfId="2" applyFont="1" applyBorder="1" applyAlignment="1" applyProtection="1">
      <alignment horizontal="center"/>
    </xf>
    <xf numFmtId="9" fontId="0" fillId="0" borderId="24" xfId="2" applyFont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9" fontId="0" fillId="0" borderId="28" xfId="2" applyFont="1" applyBorder="1" applyAlignment="1" applyProtection="1">
      <alignment horizontal="center"/>
    </xf>
    <xf numFmtId="9" fontId="0" fillId="0" borderId="29" xfId="2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</xf>
    <xf numFmtId="0" fontId="14" fillId="0" borderId="1" xfId="0" applyFont="1" applyFill="1" applyBorder="1" applyAlignment="1" applyProtection="1">
      <alignment vertical="top" wrapText="1"/>
    </xf>
    <xf numFmtId="0" fontId="16" fillId="0" borderId="1" xfId="0" applyFont="1" applyFill="1" applyBorder="1" applyAlignment="1" applyProtection="1">
      <alignment vertical="center" wrapText="1"/>
    </xf>
    <xf numFmtId="0" fontId="10" fillId="5" borderId="37" xfId="0" applyFont="1" applyFill="1" applyBorder="1" applyAlignment="1" applyProtection="1">
      <alignment horizontal="center" vertical="center" wrapText="1"/>
    </xf>
    <xf numFmtId="0" fontId="10" fillId="5" borderId="38" xfId="0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49" fontId="17" fillId="3" borderId="2" xfId="4" applyNumberFormat="1" applyAlignment="1">
      <alignment horizontal="center" vertical="center" wrapText="1"/>
      <protection locked="0"/>
    </xf>
    <xf numFmtId="0" fontId="17" fillId="3" borderId="2" xfId="4" applyNumberFormat="1" applyAlignment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/>
    </xf>
    <xf numFmtId="0" fontId="13" fillId="4" borderId="16" xfId="0" applyFont="1" applyFill="1" applyBorder="1" applyAlignment="1" applyProtection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26" fillId="4" borderId="19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right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17" fillId="3" borderId="2" xfId="4" applyAlignment="1">
      <alignment horizontal="center" vertical="center" wrapText="1"/>
      <protection locked="0"/>
    </xf>
    <xf numFmtId="49" fontId="1" fillId="3" borderId="2" xfId="1" applyNumberFormat="1" applyFill="1" applyBorder="1" applyAlignment="1">
      <alignment horizontal="left" vertical="center" wrapText="1"/>
      <protection locked="0"/>
    </xf>
    <xf numFmtId="49" fontId="17" fillId="3" borderId="2" xfId="4" applyNumberFormat="1" applyAlignment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0" fillId="5" borderId="4" xfId="0" applyFont="1" applyFill="1" applyBorder="1" applyAlignment="1" applyProtection="1">
      <alignment horizontal="center" vertical="center"/>
    </xf>
    <xf numFmtId="0" fontId="10" fillId="5" borderId="5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3" fillId="4" borderId="12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</xf>
    <xf numFmtId="0" fontId="13" fillId="4" borderId="1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9" fillId="5" borderId="33" xfId="0" applyFont="1" applyFill="1" applyBorder="1" applyAlignment="1" applyProtection="1">
      <alignment horizontal="center" vertical="top" wrapText="1"/>
    </xf>
    <xf numFmtId="0" fontId="9" fillId="5" borderId="34" xfId="0" applyFont="1" applyFill="1" applyBorder="1" applyAlignment="1" applyProtection="1">
      <alignment horizontal="center" vertical="top" wrapText="1"/>
    </xf>
    <xf numFmtId="0" fontId="9" fillId="5" borderId="35" xfId="0" applyFont="1" applyFill="1" applyBorder="1" applyAlignment="1" applyProtection="1">
      <alignment horizontal="center" vertical="top" wrapText="1"/>
    </xf>
    <xf numFmtId="0" fontId="10" fillId="5" borderId="36" xfId="0" applyFont="1" applyFill="1" applyBorder="1" applyAlignment="1" applyProtection="1">
      <alignment horizontal="center" vertical="center" wrapText="1"/>
    </xf>
    <xf numFmtId="0" fontId="10" fillId="5" borderId="37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27" fillId="4" borderId="4" xfId="0" applyFont="1" applyFill="1" applyBorder="1" applyAlignment="1" applyProtection="1">
      <alignment horizontal="center" vertical="center" wrapText="1"/>
    </xf>
    <xf numFmtId="0" fontId="27" fillId="4" borderId="5" xfId="0" applyFont="1" applyFill="1" applyBorder="1" applyAlignment="1" applyProtection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6" fillId="4" borderId="4" xfId="0" applyFont="1" applyFill="1" applyBorder="1" applyAlignment="1" applyProtection="1">
      <alignment horizontal="center" vertical="top" wrapText="1"/>
    </xf>
    <xf numFmtId="0" fontId="6" fillId="4" borderId="5" xfId="0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top" wrapText="1"/>
    </xf>
    <xf numFmtId="0" fontId="20" fillId="6" borderId="8" xfId="3" applyFont="1" applyFill="1" applyBorder="1" applyAlignment="1" applyProtection="1">
      <alignment horizontal="center" vertical="center" wrapText="1"/>
    </xf>
    <xf numFmtId="0" fontId="25" fillId="2" borderId="8" xfId="3" applyFont="1" applyFill="1" applyBorder="1" applyAlignment="1" applyProtection="1">
      <alignment horizontal="center" vertical="center" wrapText="1"/>
    </xf>
    <xf numFmtId="0" fontId="17" fillId="8" borderId="2" xfId="4" applyNumberFormat="1" applyFill="1" applyAlignment="1">
      <alignment horizontal="left" vertical="center" wrapText="1"/>
      <protection locked="0"/>
    </xf>
    <xf numFmtId="0" fontId="0" fillId="0" borderId="0" xfId="0" applyAlignment="1">
      <alignment shrinkToFit="1"/>
    </xf>
  </cellXfs>
  <cellStyles count="5">
    <cellStyle name="Hyperlink" xfId="1" builtinId="8"/>
    <cellStyle name="Input" xfId="4" builtinId="20" customBuiltin="1"/>
    <cellStyle name="Normal" xfId="0" builtinId="0"/>
    <cellStyle name="Normal 2" xfId="3"/>
    <cellStyle name="Percent" xfId="2" builtinId="5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theme="6" tint="-0.24994659260841701"/>
      </font>
      <fill>
        <patternFill>
          <bgColor theme="6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6" tint="-0.24994659260841701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theme="6" tint="-0.49998474074526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EC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../../../state-purchasing/seven-stages-of-procurement/stage-3-solicitation-preparation" TargetMode="External"/><Relationship Id="rId1" Type="http://schemas.openxmlformats.org/officeDocument/2006/relationships/hyperlink" Target="../../../state-purchasing/seven-stages-of-procur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140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26"/>
  <sheetViews>
    <sheetView tabSelected="1" workbookViewId="0">
      <pane ySplit="2" topLeftCell="A3" activePane="bottomLeft" state="frozen"/>
      <selection pane="bottomLeft" activeCell="C3" sqref="C3"/>
    </sheetView>
  </sheetViews>
  <sheetFormatPr defaultColWidth="9.140625" defaultRowHeight="15" x14ac:dyDescent="0.25"/>
  <cols>
    <col min="1" max="1" width="23.5703125" style="18" customWidth="1"/>
    <col min="2" max="2" width="7.85546875" style="18" customWidth="1"/>
    <col min="3" max="3" width="15.5703125" style="18" customWidth="1"/>
    <col min="4" max="4" width="14.42578125" style="18" customWidth="1"/>
    <col min="5" max="5" width="8.42578125" style="18" customWidth="1"/>
    <col min="6" max="6" width="10.7109375" style="18" customWidth="1"/>
    <col min="7" max="7" width="14.5703125" style="18" customWidth="1"/>
    <col min="8" max="8" width="14" style="18" customWidth="1"/>
    <col min="9" max="9" width="9.28515625" style="18" customWidth="1"/>
    <col min="10" max="10" width="9.42578125" style="18" customWidth="1"/>
    <col min="11" max="11" width="12" style="18" customWidth="1"/>
    <col min="12" max="16384" width="9.140625" style="18"/>
  </cols>
  <sheetData>
    <row r="1" spans="1:12" s="2" customFormat="1" ht="30" customHeight="1" x14ac:dyDescent="0.25">
      <c r="A1" s="91" t="s">
        <v>121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s="1" customFormat="1" ht="31.5" customHeight="1" x14ac:dyDescent="0.25">
      <c r="A2" s="93" t="s">
        <v>56</v>
      </c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2" s="1" customFormat="1" ht="30" customHeight="1" x14ac:dyDescent="0.25">
      <c r="A3" s="88" t="s">
        <v>122</v>
      </c>
      <c r="B3" s="89"/>
      <c r="C3" s="23"/>
      <c r="D3" s="78"/>
      <c r="E3" s="78"/>
      <c r="F3" s="78"/>
      <c r="G3" s="78"/>
      <c r="H3" s="4" t="s">
        <v>9</v>
      </c>
      <c r="I3" s="98"/>
      <c r="J3" s="98"/>
      <c r="K3" s="98"/>
      <c r="L3" s="6"/>
    </row>
    <row r="4" spans="1:12" s="1" customFormat="1" ht="30" customHeight="1" x14ac:dyDescent="0.25">
      <c r="A4" s="88" t="s">
        <v>41</v>
      </c>
      <c r="B4" s="89"/>
      <c r="C4" s="78"/>
      <c r="D4" s="78"/>
      <c r="E4" s="78"/>
      <c r="F4" s="78"/>
      <c r="G4" s="78"/>
      <c r="H4" s="4" t="s">
        <v>12</v>
      </c>
      <c r="I4" s="79"/>
      <c r="J4" s="79"/>
      <c r="K4" s="79"/>
      <c r="L4" s="6"/>
    </row>
    <row r="5" spans="1:12" s="1" customFormat="1" ht="30" customHeight="1" x14ac:dyDescent="0.25">
      <c r="A5" s="88" t="s">
        <v>40</v>
      </c>
      <c r="B5" s="89"/>
      <c r="C5" s="24"/>
      <c r="D5" s="79" t="s">
        <v>159</v>
      </c>
      <c r="E5" s="79"/>
      <c r="F5" s="79"/>
      <c r="G5" s="79"/>
      <c r="H5" s="4" t="s">
        <v>13</v>
      </c>
      <c r="I5" s="97"/>
      <c r="J5" s="98"/>
      <c r="K5" s="98"/>
      <c r="L5" s="6"/>
    </row>
    <row r="6" spans="1:12" s="1" customFormat="1" ht="30" customHeight="1" x14ac:dyDescent="0.25">
      <c r="A6" s="88" t="s">
        <v>123</v>
      </c>
      <c r="B6" s="89"/>
      <c r="C6" s="25"/>
      <c r="D6" s="25"/>
      <c r="E6" s="3">
        <f>D6-C6</f>
        <v>0</v>
      </c>
      <c r="F6" s="80"/>
      <c r="G6" s="81"/>
      <c r="H6" s="4" t="s">
        <v>14</v>
      </c>
      <c r="I6" s="139" t="s">
        <v>160</v>
      </c>
      <c r="J6" s="139"/>
      <c r="K6" s="139"/>
      <c r="L6" s="6"/>
    </row>
    <row r="7" spans="1:12" s="1" customFormat="1" ht="30" customHeight="1" x14ac:dyDescent="0.25">
      <c r="A7" s="88" t="s">
        <v>124</v>
      </c>
      <c r="B7" s="89"/>
      <c r="C7" s="25"/>
      <c r="D7" s="25"/>
      <c r="E7" s="3">
        <f>D7-C7</f>
        <v>0</v>
      </c>
      <c r="F7" s="80"/>
      <c r="G7" s="81"/>
      <c r="H7" s="4" t="s">
        <v>36</v>
      </c>
      <c r="I7" s="98"/>
      <c r="J7" s="98"/>
      <c r="K7" s="98"/>
      <c r="L7" s="6"/>
    </row>
    <row r="8" spans="1:12" s="1" customFormat="1" ht="30" customHeight="1" x14ac:dyDescent="0.25">
      <c r="A8" s="88" t="s">
        <v>48</v>
      </c>
      <c r="B8" s="89"/>
      <c r="C8" s="34"/>
      <c r="D8" s="99"/>
      <c r="E8" s="100"/>
      <c r="F8" s="80"/>
      <c r="G8" s="81"/>
      <c r="H8" s="99"/>
      <c r="I8" s="120"/>
      <c r="J8" s="120"/>
      <c r="K8" s="100"/>
      <c r="L8" s="6"/>
    </row>
    <row r="9" spans="1:12" s="1" customFormat="1" ht="30" customHeight="1" x14ac:dyDescent="0.25">
      <c r="A9" s="88" t="s">
        <v>125</v>
      </c>
      <c r="B9" s="89"/>
      <c r="C9" s="96" t="s">
        <v>193</v>
      </c>
      <c r="D9" s="96"/>
      <c r="E9" s="96"/>
      <c r="F9" s="3" t="s">
        <v>11</v>
      </c>
      <c r="G9" s="26" t="s">
        <v>192</v>
      </c>
      <c r="H9" s="4" t="s">
        <v>10</v>
      </c>
      <c r="I9" s="98"/>
      <c r="J9" s="98"/>
      <c r="K9" s="98"/>
      <c r="L9" s="6"/>
    </row>
    <row r="10" spans="1:12" s="10" customFormat="1" x14ac:dyDescent="0.25">
      <c r="A10" s="9"/>
      <c r="G10" s="8"/>
      <c r="H10" s="11"/>
      <c r="I10" s="12" t="s">
        <v>58</v>
      </c>
      <c r="J10" s="12"/>
      <c r="K10" s="12"/>
      <c r="L10" s="12"/>
    </row>
    <row r="11" spans="1:12" ht="22.5" customHeight="1" x14ac:dyDescent="0.25">
      <c r="A11" s="111" t="s">
        <v>49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3"/>
    </row>
    <row r="12" spans="1:12" s="19" customFormat="1" ht="45" x14ac:dyDescent="0.25">
      <c r="A12" s="114" t="s">
        <v>53</v>
      </c>
      <c r="B12" s="115"/>
      <c r="C12" s="116"/>
      <c r="D12" s="27" t="s">
        <v>52</v>
      </c>
      <c r="E12" s="27" t="s">
        <v>54</v>
      </c>
      <c r="F12" s="117" t="s">
        <v>57</v>
      </c>
      <c r="G12" s="118"/>
      <c r="H12" s="117" t="s">
        <v>50</v>
      </c>
      <c r="I12" s="119"/>
      <c r="J12" s="119"/>
      <c r="K12" s="118"/>
    </row>
    <row r="13" spans="1:12" x14ac:dyDescent="0.25">
      <c r="A13" s="90" t="s">
        <v>55</v>
      </c>
      <c r="B13" s="90"/>
      <c r="C13" s="5">
        <v>4</v>
      </c>
      <c r="D13" s="20">
        <f>COUNTIFS(reference,A13,gap,"Gap")</f>
        <v>0</v>
      </c>
      <c r="E13" s="20">
        <f>law_pts*D13</f>
        <v>0</v>
      </c>
      <c r="F13" s="28"/>
      <c r="G13" s="28">
        <v>0.59</v>
      </c>
      <c r="H13" s="15" t="s">
        <v>44</v>
      </c>
      <c r="I13" s="5">
        <f>SUMIF(scored,"Yes",max_score)</f>
        <v>90</v>
      </c>
      <c r="J13" s="105" t="str">
        <f>IF(I15&lt;=G13,"Unsatisfactory", IF(I15&lt;=G14,"Underperforming", IF(I15&lt;=G15,"Marginal",IF(I15&lt;=G16,"Acceptable", "Excellent"))))</f>
        <v>Unsatisfactory</v>
      </c>
      <c r="K13" s="106"/>
    </row>
    <row r="14" spans="1:12" x14ac:dyDescent="0.25">
      <c r="A14" s="90" t="s">
        <v>60</v>
      </c>
      <c r="B14" s="90"/>
      <c r="C14" s="5">
        <v>2</v>
      </c>
      <c r="D14" s="20">
        <f>COUNTIFS(reference,A14,gap,"Gap")</f>
        <v>0</v>
      </c>
      <c r="E14" s="20">
        <f>gpm_pts*D14</f>
        <v>0</v>
      </c>
      <c r="F14" s="28">
        <v>0.6</v>
      </c>
      <c r="G14" s="28">
        <v>0.74</v>
      </c>
      <c r="H14" s="15" t="s">
        <v>46</v>
      </c>
      <c r="I14" s="5">
        <f>IF(not_started&gt;0,0,SUMIF(scored,"Yes",score))</f>
        <v>0</v>
      </c>
      <c r="J14" s="107"/>
      <c r="K14" s="108"/>
    </row>
    <row r="15" spans="1:12" x14ac:dyDescent="0.25">
      <c r="A15" s="90" t="s">
        <v>20</v>
      </c>
      <c r="B15" s="90"/>
      <c r="C15" s="5">
        <v>1</v>
      </c>
      <c r="D15" s="20">
        <f>COUNTIFS(reference,A15,gap,"Gap")</f>
        <v>0</v>
      </c>
      <c r="E15" s="20">
        <f>trng_pts*D15</f>
        <v>0</v>
      </c>
      <c r="F15" s="28">
        <v>0.75</v>
      </c>
      <c r="G15" s="28">
        <v>0.84</v>
      </c>
      <c r="H15" s="15" t="s">
        <v>47</v>
      </c>
      <c r="I15" s="7">
        <f>ROUND(I14/I13,2)</f>
        <v>0</v>
      </c>
      <c r="J15" s="109"/>
      <c r="K15" s="110"/>
    </row>
    <row r="16" spans="1:12" x14ac:dyDescent="0.25">
      <c r="A16" s="90" t="s">
        <v>27</v>
      </c>
      <c r="B16" s="90"/>
      <c r="C16" s="5"/>
      <c r="D16" s="20"/>
      <c r="E16" s="21"/>
      <c r="F16" s="28">
        <v>0.85</v>
      </c>
      <c r="G16" s="28">
        <v>0.94</v>
      </c>
      <c r="H16" s="101" t="str">
        <f>IF(not_started&gt;0,"Actual Score and Ratings will not calculate unless all questions have been answered.","")</f>
        <v>Actual Score and Ratings will not calculate unless all questions have been answered.</v>
      </c>
      <c r="I16" s="102"/>
      <c r="J16" s="102"/>
      <c r="K16" s="102"/>
    </row>
    <row r="17" spans="4:11" x14ac:dyDescent="0.25">
      <c r="D17" s="22">
        <f>SUM(D13:D16)</f>
        <v>0</v>
      </c>
      <c r="E17" s="22">
        <f>SUM(E13:E16)</f>
        <v>0</v>
      </c>
      <c r="F17" s="28">
        <v>0.95</v>
      </c>
      <c r="G17" s="28"/>
      <c r="H17" s="103"/>
      <c r="I17" s="104"/>
      <c r="J17" s="104"/>
      <c r="K17" s="104"/>
    </row>
    <row r="19" spans="4:11" ht="15.75" thickBot="1" x14ac:dyDescent="0.3"/>
    <row r="20" spans="4:11" x14ac:dyDescent="0.25">
      <c r="D20" s="82" t="s">
        <v>158</v>
      </c>
      <c r="E20" s="83"/>
      <c r="F20" s="83"/>
      <c r="G20" s="83"/>
      <c r="H20" s="84"/>
    </row>
    <row r="21" spans="4:11" x14ac:dyDescent="0.25">
      <c r="D21" s="85" t="s">
        <v>57</v>
      </c>
      <c r="E21" s="86"/>
      <c r="F21" s="87" t="s">
        <v>47</v>
      </c>
      <c r="G21" s="87"/>
      <c r="H21" s="56" t="s">
        <v>140</v>
      </c>
    </row>
    <row r="22" spans="4:11" x14ac:dyDescent="0.25">
      <c r="D22" s="57" t="s">
        <v>141</v>
      </c>
      <c r="E22" s="58"/>
      <c r="F22" s="72" t="s">
        <v>142</v>
      </c>
      <c r="G22" s="73"/>
      <c r="H22" s="59" t="s">
        <v>143</v>
      </c>
    </row>
    <row r="23" spans="4:11" x14ac:dyDescent="0.25">
      <c r="D23" s="60" t="s">
        <v>144</v>
      </c>
      <c r="E23" s="61" t="s">
        <v>145</v>
      </c>
      <c r="F23" s="74" t="s">
        <v>146</v>
      </c>
      <c r="G23" s="75"/>
      <c r="H23" s="62" t="s">
        <v>143</v>
      </c>
    </row>
    <row r="24" spans="4:11" x14ac:dyDescent="0.25">
      <c r="D24" s="57" t="s">
        <v>147</v>
      </c>
      <c r="E24" s="58" t="s">
        <v>148</v>
      </c>
      <c r="F24" s="72" t="s">
        <v>149</v>
      </c>
      <c r="G24" s="73"/>
      <c r="H24" s="59" t="s">
        <v>150</v>
      </c>
    </row>
    <row r="25" spans="4:11" x14ac:dyDescent="0.25">
      <c r="D25" s="57" t="s">
        <v>151</v>
      </c>
      <c r="E25" s="58" t="s">
        <v>152</v>
      </c>
      <c r="F25" s="72" t="s">
        <v>153</v>
      </c>
      <c r="G25" s="73"/>
      <c r="H25" s="59" t="s">
        <v>154</v>
      </c>
    </row>
    <row r="26" spans="4:11" ht="15.75" thickBot="1" x14ac:dyDescent="0.3">
      <c r="D26" s="63"/>
      <c r="E26" s="64" t="s">
        <v>155</v>
      </c>
      <c r="F26" s="76" t="s">
        <v>156</v>
      </c>
      <c r="G26" s="77"/>
      <c r="H26" s="65" t="s">
        <v>157</v>
      </c>
    </row>
  </sheetData>
  <sheetProtection algorithmName="SHA-512" hashValue="7dNu5/WHZRsuzIfUjbsp2AjuAdxeH4t4xC40t6/ntsiNHFOKAOslgrj4gEYwdND2tzgDmH261Dz5u6qvhiKfew==" saltValue="XEGj5ynH8EIk4nFAkoMc4A==" spinCount="100000" sheet="1" selectLockedCells="1"/>
  <mergeCells count="43">
    <mergeCell ref="A15:B15"/>
    <mergeCell ref="A16:B16"/>
    <mergeCell ref="D8:E8"/>
    <mergeCell ref="H16:K17"/>
    <mergeCell ref="I3:K3"/>
    <mergeCell ref="F7:G7"/>
    <mergeCell ref="J13:K15"/>
    <mergeCell ref="D3:G3"/>
    <mergeCell ref="A9:B9"/>
    <mergeCell ref="A11:K11"/>
    <mergeCell ref="A12:C12"/>
    <mergeCell ref="F12:G12"/>
    <mergeCell ref="H12:K12"/>
    <mergeCell ref="F8:G8"/>
    <mergeCell ref="C4:D4"/>
    <mergeCell ref="H8:K8"/>
    <mergeCell ref="A3:B3"/>
    <mergeCell ref="A13:B13"/>
    <mergeCell ref="A14:B14"/>
    <mergeCell ref="A1:K1"/>
    <mergeCell ref="A2:K2"/>
    <mergeCell ref="C9:E9"/>
    <mergeCell ref="A5:B5"/>
    <mergeCell ref="I5:K5"/>
    <mergeCell ref="A6:B6"/>
    <mergeCell ref="I6:K6"/>
    <mergeCell ref="A8:B8"/>
    <mergeCell ref="I9:K9"/>
    <mergeCell ref="A7:B7"/>
    <mergeCell ref="I7:K7"/>
    <mergeCell ref="A4:B4"/>
    <mergeCell ref="I4:K4"/>
    <mergeCell ref="E4:G4"/>
    <mergeCell ref="D5:G5"/>
    <mergeCell ref="F6:G6"/>
    <mergeCell ref="D20:H20"/>
    <mergeCell ref="D21:E21"/>
    <mergeCell ref="F21:G21"/>
    <mergeCell ref="F22:G22"/>
    <mergeCell ref="F23:G23"/>
    <mergeCell ref="F24:G24"/>
    <mergeCell ref="F25:G25"/>
    <mergeCell ref="F26:G26"/>
  </mergeCells>
  <conditionalFormatting sqref="D5">
    <cfRule type="cellIs" dxfId="13" priority="23" operator="equal">
      <formula>"Type of solicitation not selected"</formula>
    </cfRule>
  </conditionalFormatting>
  <conditionalFormatting sqref="E6:E7">
    <cfRule type="cellIs" dxfId="12" priority="19" operator="equal">
      <formula>"&lt;-- Need Dates"</formula>
    </cfRule>
  </conditionalFormatting>
  <conditionalFormatting sqref="G10">
    <cfRule type="cellIs" dxfId="11" priority="10" stopIfTrue="1" operator="equal">
      <formula>"Low Risk"</formula>
    </cfRule>
    <cfRule type="cellIs" dxfId="10" priority="11" stopIfTrue="1" operator="equal">
      <formula>"Medium Risk"</formula>
    </cfRule>
    <cfRule type="cellIs" dxfId="9" priority="13" stopIfTrue="1" operator="equal">
      <formula>"High Risk"</formula>
    </cfRule>
  </conditionalFormatting>
  <conditionalFormatting sqref="J13:K15">
    <cfRule type="cellIs" dxfId="8" priority="5" operator="equal">
      <formula>"Excellent"</formula>
    </cfRule>
    <cfRule type="cellIs" dxfId="7" priority="6" operator="equal">
      <formula>"Acceptable"</formula>
    </cfRule>
    <cfRule type="cellIs" dxfId="6" priority="7" operator="equal">
      <formula>"Marginal"</formula>
    </cfRule>
    <cfRule type="cellIs" dxfId="5" priority="8" operator="equal">
      <formula>"Underperforming"</formula>
    </cfRule>
    <cfRule type="cellIs" dxfId="4" priority="9" operator="equal">
      <formula>"Unsatisfactory"</formula>
    </cfRule>
  </conditionalFormatting>
  <conditionalFormatting sqref="I6:K6">
    <cfRule type="cellIs" dxfId="3" priority="4" operator="equal">
      <formula>"NO-Buyer is NOT GCPA Certified"</formula>
    </cfRule>
    <cfRule type="containsText" dxfId="2" priority="3" operator="containsText" text="Is Buyer Certified? Select One.">
      <formula>NOT(ISERROR(SEARCH("Is Buyer Certified? Select One.",I6)))</formula>
    </cfRule>
  </conditionalFormatting>
  <conditionalFormatting sqref="C9:E9">
    <cfRule type="containsText" dxfId="1" priority="2" operator="containsText" text="Was there a protest? Select One. ">
      <formula>NOT(ISERROR(SEARCH("Was there a protest? Select One. ",C9)))</formula>
    </cfRule>
  </conditionalFormatting>
  <conditionalFormatting sqref="G9">
    <cfRule type="containsText" dxfId="0" priority="1" operator="containsText" text="Select # of Bids Received">
      <formula>NOT(ISERROR(SEARCH("Select # of Bids Received",G9)))</formula>
    </cfRule>
  </conditionalFormatting>
  <dataValidations count="5">
    <dataValidation type="list" allowBlank="1" showErrorMessage="1" errorTitle="Input Error" error="The value you entered is not valid for this cell.  Please select from the drop-down box." promptTitle="Compliance Level" prompt="Select value from the dropdown list." sqref="G9">
      <formula1>"Select # of Bids Received, 1, 2 to 5, 6 to 9,10 Or Greater"</formula1>
    </dataValidation>
    <dataValidation allowBlank="1" showErrorMessage="1" sqref="I9"/>
    <dataValidation type="list" allowBlank="1" showInputMessage="1" showErrorMessage="1" errorTitle="Input Error" error="The value you entered is not valid for this cell.  Please select from the drop-down box." prompt="This cell determines the complexity of the solicitation." sqref="D5">
      <formula1>"Select the TYPE of Solicitation, Non-Complex Goods, Non-Complex Services, Non-Complex IT, Complex Goods, Complex Services, Complex IT, Combination Goods / Services / IT"</formula1>
    </dataValidation>
    <dataValidation type="list" errorStyle="warning" allowBlank="1" showErrorMessage="1" errorTitle="Input Error" error="The value you entered is not valid for this cell.  Please try again." promptTitle="Compliance Level" prompt="Select value from the dropdown list." sqref="C9:E9">
      <formula1>" Was there a protest? Select One. ,No, YES - Frivolous, YES - Denied, YES - RFP Cancelled, YES - Other, YES - Sustained"</formula1>
    </dataValidation>
    <dataValidation type="list" allowBlank="1" showInputMessage="1" showErrorMessage="1" sqref="I6:K6">
      <formula1>"Is Buyer Certified? Select One., Yes - GCPA, Yes - RFP Certificate, Yes - GCPM, No - Buyer Not Certified"</formula1>
    </dataValidation>
  </dataValidations>
  <pageMargins left="0.7" right="0.7" top="0.75" bottom="0.75" header="0.3" footer="0.3"/>
  <pageSetup scale="85" orientation="landscape" r:id="rId1"/>
  <headerFooter>
    <oddFooter>&amp;LCopyright © 2010 – DOAS State Purchasing Division&amp;CRevised 09/01/16&amp;RPage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249977111117893"/>
    <pageSetUpPr fitToPage="1"/>
  </sheetPr>
  <dimension ref="A1:Q57"/>
  <sheetViews>
    <sheetView showGridLines="0" zoomScale="80" zoomScaleNormal="80" workbookViewId="0">
      <pane ySplit="3" topLeftCell="A4" activePane="bottomLeft" state="frozen"/>
      <selection pane="bottomLeft" activeCell="A4" sqref="A4:H4"/>
    </sheetView>
  </sheetViews>
  <sheetFormatPr defaultColWidth="10.28515625" defaultRowHeight="15" x14ac:dyDescent="0.25"/>
  <cols>
    <col min="1" max="1" width="7.42578125" style="40" customWidth="1"/>
    <col min="2" max="2" width="56.28515625" style="6" bestFit="1" customWidth="1"/>
    <col min="3" max="3" width="15.42578125" style="6" customWidth="1"/>
    <col min="4" max="4" width="17" style="6" customWidth="1"/>
    <col min="5" max="5" width="16.140625" style="31" customWidth="1"/>
    <col min="6" max="6" width="15.42578125" style="6" customWidth="1"/>
    <col min="7" max="7" width="9.5703125" style="31" customWidth="1"/>
    <col min="8" max="8" width="32.28515625" style="6" customWidth="1"/>
    <col min="9" max="9" width="1.5703125" style="6" customWidth="1"/>
    <col min="10" max="10" width="8.85546875" style="31" hidden="1" customWidth="1"/>
    <col min="11" max="11" width="10.28515625" style="31" hidden="1" customWidth="1"/>
    <col min="12" max="12" width="10.28515625" style="6" hidden="1" customWidth="1"/>
    <col min="13" max="13" width="15.28515625" style="31" hidden="1" customWidth="1"/>
    <col min="14" max="17" width="0" style="6" hidden="1" customWidth="1"/>
    <col min="18" max="16384" width="10.28515625" style="6"/>
  </cols>
  <sheetData>
    <row r="1" spans="1:17" s="29" customFormat="1" ht="23.25" x14ac:dyDescent="0.25">
      <c r="A1" s="121" t="s">
        <v>139</v>
      </c>
      <c r="B1" s="122"/>
      <c r="C1" s="122"/>
      <c r="D1" s="122"/>
      <c r="E1" s="122"/>
      <c r="F1" s="122"/>
      <c r="G1" s="122"/>
      <c r="H1" s="123"/>
      <c r="I1" s="68"/>
      <c r="K1" s="30"/>
      <c r="M1" s="30"/>
    </row>
    <row r="2" spans="1:17" ht="21" x14ac:dyDescent="0.25">
      <c r="A2" s="129" t="s">
        <v>196</v>
      </c>
      <c r="B2" s="130"/>
      <c r="C2" s="130"/>
      <c r="D2" s="130"/>
      <c r="E2" s="130"/>
      <c r="F2" s="130"/>
      <c r="G2" s="130"/>
      <c r="H2" s="131"/>
      <c r="J2" s="6"/>
    </row>
    <row r="3" spans="1:17" s="33" customFormat="1" ht="37.5" x14ac:dyDescent="0.25">
      <c r="A3" s="124" t="s">
        <v>0</v>
      </c>
      <c r="B3" s="125"/>
      <c r="C3" s="70" t="s">
        <v>30</v>
      </c>
      <c r="D3" s="70" t="s">
        <v>15</v>
      </c>
      <c r="E3" s="70" t="s">
        <v>1</v>
      </c>
      <c r="F3" s="70" t="s">
        <v>18</v>
      </c>
      <c r="G3" s="70" t="s">
        <v>44</v>
      </c>
      <c r="H3" s="71" t="s">
        <v>2</v>
      </c>
      <c r="I3" s="69"/>
      <c r="J3" s="13" t="s">
        <v>45</v>
      </c>
      <c r="K3" s="13" t="s">
        <v>51</v>
      </c>
      <c r="L3" s="13" t="s">
        <v>54</v>
      </c>
      <c r="M3" s="13" t="s">
        <v>126</v>
      </c>
    </row>
    <row r="4" spans="1:17" s="33" customFormat="1" ht="18.75" x14ac:dyDescent="0.25">
      <c r="A4" s="126" t="s">
        <v>166</v>
      </c>
      <c r="B4" s="127"/>
      <c r="C4" s="127"/>
      <c r="D4" s="127"/>
      <c r="E4" s="127"/>
      <c r="F4" s="127"/>
      <c r="G4" s="127"/>
      <c r="H4" s="128"/>
      <c r="J4" s="41"/>
      <c r="K4" s="42"/>
      <c r="L4" s="43"/>
      <c r="M4" s="13"/>
    </row>
    <row r="5" spans="1:17" ht="45" x14ac:dyDescent="0.25">
      <c r="A5" s="39" t="s">
        <v>120</v>
      </c>
      <c r="B5" s="14" t="s">
        <v>188</v>
      </c>
      <c r="C5" s="31" t="s">
        <v>60</v>
      </c>
      <c r="D5" s="35" t="s">
        <v>19</v>
      </c>
      <c r="E5" s="36"/>
      <c r="F5" s="31">
        <f t="shared" ref="F5" si="0">IF(E5="",0,IF(E5="No", 0, G5))</f>
        <v>0</v>
      </c>
      <c r="G5" s="31">
        <f>IF(E5="N/A",0,IF(C5="Legal Issue", law_pts, IF(C5="Administrative Rules", gpm_pts, trng_pts)))</f>
        <v>2</v>
      </c>
      <c r="H5" s="16"/>
      <c r="J5" s="31" t="s">
        <v>39</v>
      </c>
      <c r="K5" s="31" t="str">
        <f>IF(OR(E5="", E5="N/A", E5="Yes"),"","Gap")</f>
        <v/>
      </c>
      <c r="L5" s="31">
        <f>IF(E5="",0,G5-F5)</f>
        <v>0</v>
      </c>
      <c r="M5" s="31" t="str">
        <f t="shared" ref="M5:M25" si="1">IF(ISBLANK(E5)=TRUE,"Not Started","Answered")</f>
        <v>Not Started</v>
      </c>
      <c r="P5" s="44" t="s">
        <v>136</v>
      </c>
      <c r="Q5" s="44">
        <f>COUNTIF(answer_status,"Answered")</f>
        <v>0</v>
      </c>
    </row>
    <row r="6" spans="1:17" ht="30" x14ac:dyDescent="0.25">
      <c r="A6" s="38" t="s">
        <v>61</v>
      </c>
      <c r="B6" s="14" t="s">
        <v>190</v>
      </c>
      <c r="C6" s="31" t="s">
        <v>60</v>
      </c>
      <c r="D6" s="35" t="s">
        <v>87</v>
      </c>
      <c r="E6" s="36"/>
      <c r="F6" s="31">
        <f>IF(OR(E6="No",E6="N/A",E6=0), 0, IF(E6="Yes", G6,1))</f>
        <v>0</v>
      </c>
      <c r="G6" s="31">
        <f>IF(E6="N/A",0,IF(C6="Legal Issue", law_pts, IF(C6="Administrative Rules", gpm_pts, trng_pts)))</f>
        <v>2</v>
      </c>
      <c r="H6" s="16"/>
      <c r="J6" s="31" t="s">
        <v>39</v>
      </c>
      <c r="K6" s="31" t="str">
        <f>IF(OR(E6="", E6="N/A", E6="Yes"),"","Gap")</f>
        <v/>
      </c>
      <c r="L6" s="31">
        <f>IF(E6="",0,G6-F6)</f>
        <v>0</v>
      </c>
      <c r="M6" s="31" t="str">
        <f>IF(ISBLANK(E6)=TRUE,"Not Started","Answered")</f>
        <v>Not Started</v>
      </c>
      <c r="P6" s="44" t="s">
        <v>137</v>
      </c>
      <c r="Q6" s="44">
        <f>SUM(Q5:Q5)</f>
        <v>0</v>
      </c>
    </row>
    <row r="7" spans="1:17" ht="18.75" x14ac:dyDescent="0.25">
      <c r="A7" s="126" t="s">
        <v>167</v>
      </c>
      <c r="B7" s="127"/>
      <c r="C7" s="127"/>
      <c r="D7" s="127"/>
      <c r="E7" s="127"/>
      <c r="F7" s="127"/>
      <c r="G7" s="127"/>
      <c r="H7" s="128"/>
      <c r="L7" s="31"/>
    </row>
    <row r="8" spans="1:17" ht="30" x14ac:dyDescent="0.25">
      <c r="A8" s="38" t="s">
        <v>65</v>
      </c>
      <c r="B8" s="14" t="s">
        <v>183</v>
      </c>
      <c r="C8" s="31" t="s">
        <v>60</v>
      </c>
      <c r="D8" s="35" t="s">
        <v>25</v>
      </c>
      <c r="E8" s="36"/>
      <c r="F8" s="31">
        <f>IF(E8="",0,IF(E8="No", 0,IF(E8="Yes", G8,G8-1)))</f>
        <v>0</v>
      </c>
      <c r="G8" s="31">
        <f>IF(E8="N/A",0,IF(C8="Legal Issue", law_pts, IF(C8="Administrative Rules", gpm_pts, trng_pts)))</f>
        <v>2</v>
      </c>
      <c r="H8" s="16"/>
      <c r="J8" s="31" t="s">
        <v>39</v>
      </c>
      <c r="K8" s="31" t="str">
        <f>IF(OR(E8="", E8="N/A", E8="Yes"),"","Gap")</f>
        <v/>
      </c>
      <c r="L8" s="31">
        <f t="shared" ref="L8:L12" si="2">IF(E8="",0,G8-F8)</f>
        <v>0</v>
      </c>
      <c r="M8" s="31" t="str">
        <f t="shared" si="1"/>
        <v>Not Started</v>
      </c>
      <c r="P8" s="44" t="s">
        <v>191</v>
      </c>
      <c r="Q8" s="44">
        <f>COUNTIF(answer_status,"Not Started")</f>
        <v>43</v>
      </c>
    </row>
    <row r="9" spans="1:17" ht="30" x14ac:dyDescent="0.25">
      <c r="A9" s="39" t="s">
        <v>67</v>
      </c>
      <c r="B9" s="14" t="s">
        <v>62</v>
      </c>
      <c r="C9" s="31" t="s">
        <v>60</v>
      </c>
      <c r="D9" s="35" t="s">
        <v>25</v>
      </c>
      <c r="E9" s="36"/>
      <c r="F9" s="31">
        <f>IF(E9="",0,IF(E9="No", 0, G9))</f>
        <v>0</v>
      </c>
      <c r="G9" s="31">
        <f>IF(E9="N/A",0,IF(C9="Legal Issue", law_pts, IF(C9="Administrative Rules", gpm_pts, trng_pts)))</f>
        <v>2</v>
      </c>
      <c r="H9" s="16"/>
      <c r="J9" s="31" t="s">
        <v>39</v>
      </c>
      <c r="K9" s="31" t="str">
        <f>IF(OR(E9="", E9="N/A", E9="Yes"),"","Gap")</f>
        <v/>
      </c>
      <c r="L9" s="31">
        <f t="shared" si="2"/>
        <v>0</v>
      </c>
      <c r="M9" s="31" t="str">
        <f t="shared" ref="M9" si="3">IF(ISBLANK(E9)=TRUE,"Not Started","Answered")</f>
        <v>Not Started</v>
      </c>
    </row>
    <row r="10" spans="1:17" ht="45" x14ac:dyDescent="0.25">
      <c r="A10" s="39" t="s">
        <v>69</v>
      </c>
      <c r="B10" s="14" t="s">
        <v>63</v>
      </c>
      <c r="C10" s="31" t="s">
        <v>60</v>
      </c>
      <c r="D10" s="35" t="s">
        <v>25</v>
      </c>
      <c r="E10" s="37"/>
      <c r="F10" s="31">
        <f>IF(E10="",0,IF(E10="No", 0, G10))</f>
        <v>0</v>
      </c>
      <c r="G10" s="31">
        <f>IF(E10="N/A",0,IF(C10="Legal Issue", law_pts, IF(C10="Administrative Rules", gpm_pts, trng_pts)))</f>
        <v>2</v>
      </c>
      <c r="H10" s="16"/>
      <c r="J10" s="31" t="s">
        <v>39</v>
      </c>
      <c r="K10" s="31" t="str">
        <f>IF(OR(E10="", E10="N/A", E10="Yes"),"","Gap")</f>
        <v/>
      </c>
      <c r="L10" s="31">
        <f t="shared" si="2"/>
        <v>0</v>
      </c>
      <c r="M10" s="31" t="str">
        <f>IF(ISBLANK(E10)=TRUE,"Not Started","Answered")</f>
        <v>Not Started</v>
      </c>
    </row>
    <row r="11" spans="1:17" ht="45" x14ac:dyDescent="0.25">
      <c r="A11" s="39" t="s">
        <v>71</v>
      </c>
      <c r="B11" s="14" t="s">
        <v>179</v>
      </c>
      <c r="C11" s="31" t="s">
        <v>60</v>
      </c>
      <c r="D11" s="35" t="s">
        <v>25</v>
      </c>
      <c r="E11" s="37"/>
      <c r="F11" s="31">
        <f>IF(E11="",0,IF(E11="No", 0, G11))</f>
        <v>0</v>
      </c>
      <c r="G11" s="31">
        <f>IF(E11="N/A",0,IF(C11="Legal Issue", law_pts, IF(C11="Administrative Rules", gpm_pts, trng_pts)))</f>
        <v>2</v>
      </c>
      <c r="H11" s="16"/>
      <c r="J11" s="31" t="s">
        <v>39</v>
      </c>
      <c r="K11" s="31" t="str">
        <f>IF(OR(E11="", E11="N/A", E11="Yes"),"","Gap")</f>
        <v/>
      </c>
      <c r="L11" s="31">
        <f t="shared" si="2"/>
        <v>0</v>
      </c>
      <c r="M11" s="31" t="str">
        <f>IF(ISBLANK(E11)=TRUE,"Not Started","Answered")</f>
        <v>Not Started</v>
      </c>
    </row>
    <row r="12" spans="1:17" ht="30" x14ac:dyDescent="0.25">
      <c r="A12" s="39" t="s">
        <v>73</v>
      </c>
      <c r="B12" s="14" t="s">
        <v>64</v>
      </c>
      <c r="C12" s="31" t="s">
        <v>60</v>
      </c>
      <c r="D12" s="35" t="s">
        <v>31</v>
      </c>
      <c r="E12" s="36"/>
      <c r="F12" s="31">
        <f>IF(E12=0,0,IF(E12="Yes", 0, IF(E12="No", G12,1)))</f>
        <v>0</v>
      </c>
      <c r="G12" s="31">
        <f>IF(E12="N/A",0,IF(C12="Legal Issue", law_pts, IF(C12="Administrative Rules", gpm_pts, trng_pts)))</f>
        <v>2</v>
      </c>
      <c r="H12" s="16"/>
      <c r="J12" s="31" t="s">
        <v>39</v>
      </c>
      <c r="K12" s="31" t="str">
        <f>IF(OR(E12="", E12="N/A", E12="No"),"","Gap")</f>
        <v/>
      </c>
      <c r="L12" s="31">
        <f t="shared" si="2"/>
        <v>0</v>
      </c>
      <c r="M12" s="31" t="str">
        <f>IF(ISBLANK(E12)=TRUE,"Not Started","Answered")</f>
        <v>Not Started</v>
      </c>
    </row>
    <row r="13" spans="1:17" s="44" customFormat="1" ht="30" x14ac:dyDescent="0.25">
      <c r="A13" s="39" t="s">
        <v>78</v>
      </c>
      <c r="B13" s="14" t="s">
        <v>187</v>
      </c>
      <c r="C13" s="66" t="s">
        <v>60</v>
      </c>
      <c r="D13" s="67" t="s">
        <v>194</v>
      </c>
      <c r="E13" s="36"/>
      <c r="F13" s="132" t="str">
        <f>IF(ISBLANK(E13)=TRUE,"",IF(E13="No","Skip to Question #5","Answer Questions 4a-e"))</f>
        <v/>
      </c>
      <c r="G13" s="133"/>
      <c r="H13" s="45"/>
      <c r="J13" s="134"/>
      <c r="K13" s="135"/>
      <c r="L13" s="135"/>
      <c r="M13" s="136"/>
    </row>
    <row r="14" spans="1:17" ht="30" x14ac:dyDescent="0.25">
      <c r="A14" s="39" t="s">
        <v>173</v>
      </c>
      <c r="B14" s="14" t="s">
        <v>128</v>
      </c>
      <c r="C14" s="31" t="s">
        <v>60</v>
      </c>
      <c r="D14" s="35" t="s">
        <v>66</v>
      </c>
      <c r="E14" s="36"/>
      <c r="F14" s="31">
        <f t="shared" ref="F14" si="4">IF(OR(E14="No",E14="N/A",E14=0), 0, IF(E14="Yes", G14,1))</f>
        <v>0</v>
      </c>
      <c r="G14" s="31">
        <f>IF(OR(E14="N/A",$E$13="No"),0,IF(C14="Legal Issue", law_pts, IF(C14="Administrative Rules", gpm_pts, trng_pts)))</f>
        <v>2</v>
      </c>
      <c r="H14" s="45"/>
      <c r="J14" s="31" t="s">
        <v>39</v>
      </c>
      <c r="K14" s="31" t="str">
        <f t="shared" ref="K14" si="5">IF(OR(E14="", E14="N/A", E14="Yes"),"","Gap")</f>
        <v/>
      </c>
      <c r="L14" s="31">
        <f t="shared" ref="L14" si="6">IF(E14="",0,G14-F14)</f>
        <v>0</v>
      </c>
      <c r="M14" s="31" t="str">
        <f>IF($E$13="No", "Answered",IF(ISBLANK(E14)=TRUE, "Not Started","Answered"))</f>
        <v>Not Started</v>
      </c>
    </row>
    <row r="15" spans="1:17" ht="30" x14ac:dyDescent="0.25">
      <c r="A15" s="39" t="s">
        <v>174</v>
      </c>
      <c r="B15" s="14" t="s">
        <v>127</v>
      </c>
      <c r="C15" s="31" t="s">
        <v>60</v>
      </c>
      <c r="D15" s="35" t="s">
        <v>66</v>
      </c>
      <c r="E15" s="36"/>
      <c r="F15" s="31">
        <f t="shared" ref="F15" si="7">IF(OR(E15="No",E15="N/A",E15=0), 0, IF(E15="Yes", G15,1))</f>
        <v>0</v>
      </c>
      <c r="G15" s="66">
        <f>IF(OR(E15="N/A",$E$13="No"),0,IF(C15="Legal Issue", law_pts, IF(C15="Administrative Rules", gpm_pts, trng_pts)))</f>
        <v>2</v>
      </c>
      <c r="H15" s="45"/>
      <c r="J15" s="31" t="s">
        <v>39</v>
      </c>
      <c r="K15" s="31" t="str">
        <f t="shared" ref="K15" si="8">IF(OR(E15="", E15="N/A", E15="Yes"),"","Gap")</f>
        <v/>
      </c>
      <c r="L15" s="31">
        <f t="shared" ref="L15" si="9">IF(E15="",0,G15-F15)</f>
        <v>0</v>
      </c>
      <c r="M15" s="66" t="str">
        <f t="shared" ref="M15:M18" si="10">IF($E$13="No", "Answered",IF(ISBLANK(E15)=TRUE, "Not Started","Answered"))</f>
        <v>Not Started</v>
      </c>
    </row>
    <row r="16" spans="1:17" ht="30" x14ac:dyDescent="0.25">
      <c r="A16" s="39" t="s">
        <v>175</v>
      </c>
      <c r="B16" s="14" t="s">
        <v>164</v>
      </c>
      <c r="C16" s="31" t="s">
        <v>60</v>
      </c>
      <c r="D16" s="35" t="s">
        <v>21</v>
      </c>
      <c r="E16" s="36"/>
      <c r="F16" s="31">
        <f>IF(OR(E16="No",E16="N/A",E16=0), 0, IF(E16="Yes", G16,1))</f>
        <v>0</v>
      </c>
      <c r="G16" s="66">
        <f>IF(OR(E16="N/A",$E$13="No"),0,IF(C16="Legal Issue", law_pts, IF(C16="Administrative Rules", gpm_pts, trng_pts)))</f>
        <v>2</v>
      </c>
      <c r="H16" s="16"/>
      <c r="J16" s="31" t="s">
        <v>39</v>
      </c>
      <c r="K16" s="31" t="str">
        <f>IF(OR(E16="", E16="N/A", E16="Yes"),"","Gap")</f>
        <v/>
      </c>
      <c r="L16" s="31">
        <f>IF(E16="",0,G16-F16)</f>
        <v>0</v>
      </c>
      <c r="M16" s="66" t="str">
        <f t="shared" si="10"/>
        <v>Not Started</v>
      </c>
    </row>
    <row r="17" spans="1:13" ht="30" x14ac:dyDescent="0.25">
      <c r="A17" s="39" t="s">
        <v>176</v>
      </c>
      <c r="B17" s="14" t="s">
        <v>161</v>
      </c>
      <c r="C17" s="31" t="s">
        <v>55</v>
      </c>
      <c r="D17" s="35" t="s">
        <v>68</v>
      </c>
      <c r="E17" s="36"/>
      <c r="F17" s="31">
        <f t="shared" ref="F17:F25" si="11">IF(OR(E17="No",E17="N/A",E17=0), 0, IF(E17="Yes", G17,1))</f>
        <v>0</v>
      </c>
      <c r="G17" s="66">
        <f>IF(OR(E17="N/A",$E$13="No"),0,IF(C17="Legal Issue", law_pts, IF(C17="Administrative Rules", gpm_pts, trng_pts)))</f>
        <v>4</v>
      </c>
      <c r="H17" s="16"/>
      <c r="J17" s="31" t="s">
        <v>39</v>
      </c>
      <c r="K17" s="31" t="str">
        <f t="shared" ref="K17:K18" si="12">IF(OR(E17="", E17="N/A", E17="Yes"),"","Gap")</f>
        <v/>
      </c>
      <c r="L17" s="31">
        <f t="shared" ref="L17:L25" si="13">IF(E17="",0,G17-F17)</f>
        <v>0</v>
      </c>
      <c r="M17" s="66" t="str">
        <f t="shared" si="10"/>
        <v>Not Started</v>
      </c>
    </row>
    <row r="18" spans="1:13" ht="30" x14ac:dyDescent="0.25">
      <c r="A18" s="39" t="s">
        <v>177</v>
      </c>
      <c r="B18" s="14" t="s">
        <v>162</v>
      </c>
      <c r="C18" s="31" t="s">
        <v>60</v>
      </c>
      <c r="D18" s="35" t="s">
        <v>70</v>
      </c>
      <c r="E18" s="36"/>
      <c r="F18" s="31">
        <f t="shared" si="11"/>
        <v>0</v>
      </c>
      <c r="G18" s="66">
        <f>IF(OR(E18="N/A",$E$13="No"),0,IF(C18="Legal Issue", law_pts, IF(C18="Administrative Rules", gpm_pts, trng_pts)))</f>
        <v>2</v>
      </c>
      <c r="H18" s="16"/>
      <c r="J18" s="31" t="s">
        <v>39</v>
      </c>
      <c r="K18" s="31" t="str">
        <f t="shared" si="12"/>
        <v/>
      </c>
      <c r="L18" s="31">
        <f t="shared" si="13"/>
        <v>0</v>
      </c>
      <c r="M18" s="66" t="str">
        <f t="shared" si="10"/>
        <v>Not Started</v>
      </c>
    </row>
    <row r="19" spans="1:13" ht="30" x14ac:dyDescent="0.25">
      <c r="A19" s="39" t="s">
        <v>80</v>
      </c>
      <c r="B19" s="14" t="s">
        <v>189</v>
      </c>
      <c r="C19" s="31" t="s">
        <v>60</v>
      </c>
      <c r="D19" s="35" t="s">
        <v>72</v>
      </c>
      <c r="E19" s="36"/>
      <c r="F19" s="31">
        <f>IF(OR(E19="No",E19="N/A",E19=0), 0, IF(E19="Yes", G19,1))</f>
        <v>0</v>
      </c>
      <c r="G19" s="31">
        <f>IF(E19="N/A",0,IF(C19="Legal Issue", law_pts, IF(C19="Administrative Rules", gpm_pts, trng_pts)))</f>
        <v>2</v>
      </c>
      <c r="H19" s="16"/>
      <c r="J19" s="31" t="s">
        <v>39</v>
      </c>
      <c r="K19" s="31" t="str">
        <f>IF(OR(E19="", E19="N/A", E19="Yes"),"","Gap")</f>
        <v/>
      </c>
      <c r="L19" s="31">
        <f>IF(E19="",0,G19-F19)</f>
        <v>0</v>
      </c>
      <c r="M19" s="31" t="str">
        <f>IF(ISBLANK(E19)=TRUE,"Not Started","Answered")</f>
        <v>Not Started</v>
      </c>
    </row>
    <row r="20" spans="1:13" ht="30" x14ac:dyDescent="0.25">
      <c r="A20" s="38" t="s">
        <v>3</v>
      </c>
      <c r="B20" s="14" t="s">
        <v>163</v>
      </c>
      <c r="C20" s="31" t="s">
        <v>60</v>
      </c>
      <c r="D20" s="35" t="s">
        <v>172</v>
      </c>
      <c r="E20" s="36"/>
      <c r="F20" s="31">
        <f>IF(OR(E20="No",E20="N/A",E20=0), 0, IF(E20="Yes", G20,1))</f>
        <v>0</v>
      </c>
      <c r="G20" s="31">
        <f>IF(E20="N/A",0,IF(C20="Legal Issue", law_pts, IF(C20="Administrative Rules", gpm_pts, trng_pts)))</f>
        <v>2</v>
      </c>
      <c r="H20" s="16"/>
      <c r="J20" s="31" t="s">
        <v>39</v>
      </c>
      <c r="K20" s="31" t="str">
        <f>IF(OR(E20="", E20="N/A", E20="Yes"),"","Gap")</f>
        <v/>
      </c>
      <c r="L20" s="31">
        <f>IF(E20="",0,G20-F20)</f>
        <v>0</v>
      </c>
      <c r="M20" s="31" t="str">
        <f>IF(ISBLANK(E20)=TRUE,"Not Started","Answered")</f>
        <v>Not Started</v>
      </c>
    </row>
    <row r="21" spans="1:13" ht="30" x14ac:dyDescent="0.25">
      <c r="A21" s="39" t="s">
        <v>83</v>
      </c>
      <c r="B21" s="14" t="s">
        <v>74</v>
      </c>
      <c r="C21" s="31" t="s">
        <v>60</v>
      </c>
      <c r="D21" s="35" t="s">
        <v>181</v>
      </c>
      <c r="E21" s="36"/>
      <c r="F21" s="31">
        <f t="shared" si="11"/>
        <v>0</v>
      </c>
      <c r="G21" s="31">
        <f t="shared" ref="G21:G25" si="14">IF(E21="N/A",0,IF(C21="Legal Issue", law_pts, IF(C21="Administrative Rules", gpm_pts, trng_pts)))</f>
        <v>2</v>
      </c>
      <c r="H21" s="16"/>
      <c r="J21" s="31" t="s">
        <v>39</v>
      </c>
      <c r="K21" s="31" t="str">
        <f t="shared" ref="K21" si="15">IF(OR(E21="", E21="N/A", E21="Yes"),"","Gap")</f>
        <v/>
      </c>
      <c r="L21" s="31">
        <f t="shared" ref="L21" si="16">IF(E21="",0,G21-F21)</f>
        <v>0</v>
      </c>
      <c r="M21" s="31" t="str">
        <f t="shared" ref="M21" si="17">IF(ISBLANK(E21)=TRUE,"Not Started","Answered")</f>
        <v>Not Started</v>
      </c>
    </row>
    <row r="22" spans="1:13" ht="30" x14ac:dyDescent="0.25">
      <c r="A22" s="39" t="s">
        <v>84</v>
      </c>
      <c r="B22" s="14" t="s">
        <v>180</v>
      </c>
      <c r="C22" s="31" t="s">
        <v>60</v>
      </c>
      <c r="D22" s="35" t="s">
        <v>75</v>
      </c>
      <c r="E22" s="36"/>
      <c r="F22" s="31">
        <f>IF(OR(E22="No",E22="N/A",E22=0), 0, IF(E22="Yes", G22,1))</f>
        <v>0</v>
      </c>
      <c r="G22" s="31">
        <f t="shared" si="14"/>
        <v>2</v>
      </c>
      <c r="H22" s="16"/>
      <c r="J22" s="31" t="s">
        <v>39</v>
      </c>
      <c r="K22" s="31" t="str">
        <f>IF(OR(E22="", E22="N/A", E22="Yes"),"","Gap")</f>
        <v/>
      </c>
      <c r="L22" s="31">
        <f t="shared" si="13"/>
        <v>0</v>
      </c>
      <c r="M22" s="31" t="str">
        <f t="shared" si="1"/>
        <v>Not Started</v>
      </c>
    </row>
    <row r="23" spans="1:13" ht="30" x14ac:dyDescent="0.25">
      <c r="A23" s="39" t="s">
        <v>178</v>
      </c>
      <c r="B23" s="14" t="s">
        <v>76</v>
      </c>
      <c r="C23" s="31" t="s">
        <v>60</v>
      </c>
      <c r="D23" s="35" t="s">
        <v>182</v>
      </c>
      <c r="E23" s="36"/>
      <c r="F23" s="31">
        <f t="shared" si="11"/>
        <v>0</v>
      </c>
      <c r="G23" s="31">
        <f t="shared" si="14"/>
        <v>2</v>
      </c>
      <c r="H23" s="16"/>
      <c r="J23" s="31" t="s">
        <v>39</v>
      </c>
      <c r="K23" s="31" t="str">
        <f>IF(OR(E23="", E23="N/A", E23="Yes"),"","Gap")</f>
        <v/>
      </c>
      <c r="L23" s="31">
        <f t="shared" si="13"/>
        <v>0</v>
      </c>
      <c r="M23" s="31" t="str">
        <f t="shared" si="1"/>
        <v>Not Started</v>
      </c>
    </row>
    <row r="24" spans="1:13" ht="30" x14ac:dyDescent="0.25">
      <c r="A24" s="39" t="s">
        <v>195</v>
      </c>
      <c r="B24" s="14" t="s">
        <v>170</v>
      </c>
      <c r="C24" s="46" t="s">
        <v>60</v>
      </c>
      <c r="D24" s="35" t="s">
        <v>171</v>
      </c>
      <c r="E24" s="36"/>
      <c r="F24" s="46">
        <f>IF(E24=0,0,IF(E24="No", 0, IF(E24="Yes", G24,1)))</f>
        <v>0</v>
      </c>
      <c r="G24" s="46">
        <f t="shared" ref="G24" si="18">IF(E24="N/A",0,IF(C24="Legal Issue", law_pts, IF(C24="Administrative Rules", gpm_pts, trng_pts)))</f>
        <v>2</v>
      </c>
      <c r="H24" s="45"/>
      <c r="I24" s="44"/>
      <c r="J24" s="46" t="s">
        <v>39</v>
      </c>
      <c r="K24" s="66" t="str">
        <f>IF(OR(E24="", E24="N/A", E24="Yes"),"","Gap")</f>
        <v/>
      </c>
      <c r="L24" s="46">
        <f t="shared" ref="L24" si="19">IF(E24="",0,G24-F24)</f>
        <v>0</v>
      </c>
      <c r="M24" s="46" t="str">
        <f t="shared" ref="M24" si="20">IF(ISBLANK(E24)=TRUE,"Not Started","Answered")</f>
        <v>Not Started</v>
      </c>
    </row>
    <row r="25" spans="1:13" ht="30" x14ac:dyDescent="0.25">
      <c r="A25" s="39" t="s">
        <v>200</v>
      </c>
      <c r="B25" s="14" t="s">
        <v>79</v>
      </c>
      <c r="C25" s="31" t="s">
        <v>60</v>
      </c>
      <c r="D25" s="35" t="s">
        <v>38</v>
      </c>
      <c r="E25" s="36"/>
      <c r="F25" s="31">
        <f t="shared" si="11"/>
        <v>0</v>
      </c>
      <c r="G25" s="31">
        <f t="shared" si="14"/>
        <v>2</v>
      </c>
      <c r="H25" s="16"/>
      <c r="J25" s="31" t="s">
        <v>39</v>
      </c>
      <c r="K25" s="31" t="str">
        <f t="shared" ref="K25" si="21">IF(OR(E25="", E25="N/A", E25="Yes"),"","Gap")</f>
        <v/>
      </c>
      <c r="L25" s="31">
        <f t="shared" si="13"/>
        <v>0</v>
      </c>
      <c r="M25" s="31" t="str">
        <f t="shared" si="1"/>
        <v>Not Started</v>
      </c>
    </row>
    <row r="26" spans="1:13" ht="30" x14ac:dyDescent="0.25">
      <c r="A26" s="39" t="s">
        <v>91</v>
      </c>
      <c r="B26" s="14" t="s">
        <v>81</v>
      </c>
      <c r="C26" s="31" t="s">
        <v>60</v>
      </c>
      <c r="D26" s="35" t="s">
        <v>37</v>
      </c>
      <c r="E26" s="36"/>
      <c r="F26" s="31">
        <f>IF(OR(E26="No",E26="N/A",E26=0), 0, IF(E26="Yes", G26,1))</f>
        <v>0</v>
      </c>
      <c r="G26" s="31">
        <f>IF(E26="N/A",0,IF(C26="Legal Issue", law_pts, IF(C26="Administrative Rules", gpm_pts, trng_pts)))</f>
        <v>2</v>
      </c>
      <c r="H26" s="16"/>
      <c r="J26" s="31" t="s">
        <v>39</v>
      </c>
      <c r="K26" s="31" t="str">
        <f>IF(OR(E26="", E26="N/A", E26="Yes"),"","Gap")</f>
        <v/>
      </c>
      <c r="L26" s="31">
        <f>IF(E26="",0,G26-F26)</f>
        <v>0</v>
      </c>
      <c r="M26" s="31" t="str">
        <f>IF(ISBLANK(E26)=TRUE,"Not Started","Answered")</f>
        <v>Not Started</v>
      </c>
    </row>
    <row r="27" spans="1:13" ht="30" x14ac:dyDescent="0.25">
      <c r="A27" s="39" t="s">
        <v>93</v>
      </c>
      <c r="B27" s="14" t="s">
        <v>198</v>
      </c>
      <c r="C27" s="31" t="s">
        <v>55</v>
      </c>
      <c r="D27" s="35" t="s">
        <v>82</v>
      </c>
      <c r="E27" s="36"/>
      <c r="F27" s="31">
        <f>IF(OR(E27="No",E27="N/A",E27=0), 0, IF(E27="Yes", G27,1))</f>
        <v>0</v>
      </c>
      <c r="G27" s="31">
        <f>IF(E27="N/A",0,IF(C27="Legal Issue", law_pts, IF(C27="Administrative Rules", gpm_pts, trng_pts)))</f>
        <v>4</v>
      </c>
      <c r="H27" s="16"/>
      <c r="J27" s="31" t="s">
        <v>39</v>
      </c>
      <c r="K27" s="31" t="str">
        <f>IF(OR(E27="", E27="N/A", E27="Yes"),"","Gap")</f>
        <v/>
      </c>
      <c r="L27" s="31">
        <f>IF(E27="",0,G27-F27)</f>
        <v>0</v>
      </c>
      <c r="M27" s="31" t="str">
        <f>IF(ISBLANK(E27)=TRUE,"Not Started","Answered")</f>
        <v>Not Started</v>
      </c>
    </row>
    <row r="28" spans="1:13" ht="30" x14ac:dyDescent="0.25">
      <c r="A28" s="39" t="s">
        <v>95</v>
      </c>
      <c r="B28" s="14" t="s">
        <v>92</v>
      </c>
      <c r="C28" s="31" t="s">
        <v>60</v>
      </c>
      <c r="D28" s="35" t="s">
        <v>34</v>
      </c>
      <c r="E28" s="36"/>
      <c r="F28" s="31">
        <f>IF(OR(E28="No",E28="N/A",E28=0), 0, IF(E28="Yes", G28,1))</f>
        <v>0</v>
      </c>
      <c r="G28" s="31">
        <f>IF(E28="N/A",0,IF(C28="Legal Issue", law_pts, IF(C28="Administrative Rules", gpm_pts, trng_pts)))</f>
        <v>2</v>
      </c>
      <c r="H28" s="16"/>
      <c r="J28" s="31" t="s">
        <v>39</v>
      </c>
      <c r="K28" s="31" t="str">
        <f t="shared" ref="K28" si="22">IF(OR(E28="", E28="N/A", E28="Yes"),"","Gap")</f>
        <v/>
      </c>
      <c r="L28" s="31">
        <f t="shared" ref="L28" si="23">IF(E28="",0,G28-F28)</f>
        <v>0</v>
      </c>
      <c r="M28" s="31" t="str">
        <f t="shared" ref="M28" si="24">IF(ISBLANK(E28)=TRUE,"Not Started","Answered")</f>
        <v>Not Started</v>
      </c>
    </row>
    <row r="29" spans="1:13" ht="18.75" x14ac:dyDescent="0.25">
      <c r="A29" s="126" t="s">
        <v>165</v>
      </c>
      <c r="B29" s="127"/>
      <c r="C29" s="127"/>
      <c r="D29" s="127"/>
      <c r="E29" s="127"/>
      <c r="F29" s="127"/>
      <c r="G29" s="127"/>
      <c r="H29" s="128"/>
      <c r="I29" s="44"/>
      <c r="J29" s="46"/>
      <c r="K29" s="46"/>
      <c r="L29" s="46"/>
      <c r="M29" s="46"/>
    </row>
    <row r="30" spans="1:13" s="44" customFormat="1" ht="30" x14ac:dyDescent="0.25">
      <c r="A30" s="38" t="s">
        <v>97</v>
      </c>
      <c r="B30" s="14" t="s">
        <v>85</v>
      </c>
      <c r="C30" s="31" t="s">
        <v>60</v>
      </c>
      <c r="D30" s="35" t="s">
        <v>86</v>
      </c>
      <c r="E30" s="36"/>
      <c r="F30" s="31">
        <f>IF(OR(E30="No",E30="N/A",E30=0), 0, IF(E30="Yes", G30,1))</f>
        <v>0</v>
      </c>
      <c r="G30" s="31">
        <f>IF(E30="N/A",0,IF(C30="Legal Issue", law_pts, IF(C30="Administrative Rules", gpm_pts, trng_pts)))</f>
        <v>2</v>
      </c>
      <c r="H30" s="16"/>
      <c r="I30" s="6"/>
      <c r="J30" s="31" t="s">
        <v>39</v>
      </c>
      <c r="K30" s="31" t="str">
        <f>IF(OR(E30="", E30="N/A", E30="Yes"),"","Gap")</f>
        <v/>
      </c>
      <c r="L30" s="31">
        <f>IF(E30="",0,G30-F30)</f>
        <v>0</v>
      </c>
      <c r="M30" s="31" t="str">
        <f>IF(ISBLANK(E30)=TRUE,"Not Started","Answered")</f>
        <v>Not Started</v>
      </c>
    </row>
    <row r="31" spans="1:13" ht="30" x14ac:dyDescent="0.25">
      <c r="A31" s="38" t="s">
        <v>99</v>
      </c>
      <c r="B31" s="14" t="s">
        <v>88</v>
      </c>
      <c r="C31" s="31" t="s">
        <v>60</v>
      </c>
      <c r="D31" s="35" t="s">
        <v>87</v>
      </c>
      <c r="E31" s="36"/>
      <c r="F31" s="132" t="str">
        <f>IF(E31="","", IF(E31="Yes","Answer Questions 17a-b","Go to #18"))</f>
        <v/>
      </c>
      <c r="G31" s="133"/>
      <c r="H31" s="16"/>
      <c r="J31" s="134"/>
      <c r="K31" s="135"/>
      <c r="L31" s="135"/>
      <c r="M31" s="136"/>
    </row>
    <row r="32" spans="1:13" ht="30" x14ac:dyDescent="0.25">
      <c r="A32" s="39" t="s">
        <v>201</v>
      </c>
      <c r="B32" s="14" t="s">
        <v>35</v>
      </c>
      <c r="C32" s="31" t="s">
        <v>60</v>
      </c>
      <c r="D32" s="35" t="s">
        <v>89</v>
      </c>
      <c r="E32" s="36"/>
      <c r="F32" s="31">
        <f t="shared" ref="F32" si="25">IF(OR(E32="No",E32="N/A",E32=0), 0, IF(E32="Yes", G32,1))</f>
        <v>0</v>
      </c>
      <c r="G32" s="31">
        <f>IF(OR(E32="N/A",$E$31="No"),0,IF(C32="Legal Issue", law_pts, IF(C32="Administrative Rules", gpm_pts, trng_pts)))</f>
        <v>2</v>
      </c>
      <c r="H32" s="16"/>
      <c r="J32" s="31" t="s">
        <v>39</v>
      </c>
      <c r="K32" s="31" t="str">
        <f>IF(OR(E32="", E32="N/A", E32="Yes"),"","Gap")</f>
        <v/>
      </c>
      <c r="L32" s="31">
        <f>IF(E32="",0,G32-F32)</f>
        <v>0</v>
      </c>
      <c r="M32" s="31" t="str">
        <f>IF($E$31="No","Answered",IF(ISBLANK(E32)=TRUE,"Not Started","Answered"))</f>
        <v>Not Started</v>
      </c>
    </row>
    <row r="33" spans="1:13" ht="30" x14ac:dyDescent="0.25">
      <c r="A33" s="39" t="s">
        <v>202</v>
      </c>
      <c r="B33" s="14" t="s">
        <v>90</v>
      </c>
      <c r="C33" s="31" t="s">
        <v>60</v>
      </c>
      <c r="D33" s="35" t="s">
        <v>23</v>
      </c>
      <c r="E33" s="36"/>
      <c r="F33" s="31">
        <f>IF(OR(E33="No",E33="N/A",E33=0), 0, IF(E33="Yes", G33,1))</f>
        <v>0</v>
      </c>
      <c r="G33" s="31">
        <f>IF(OR(E33="N/A",$E$31="No"),0,IF(C33="Legal Issue", law_pts, IF(C33="Administrative Rules", gpm_pts, trng_pts)))</f>
        <v>2</v>
      </c>
      <c r="H33" s="16"/>
      <c r="J33" s="31" t="s">
        <v>39</v>
      </c>
      <c r="K33" s="31" t="str">
        <f t="shared" ref="K33" si="26">IF(OR(E33="", E33="N/A", E33="Yes"),"","Gap")</f>
        <v/>
      </c>
      <c r="L33" s="31">
        <f t="shared" ref="L33" si="27">IF(E33="",0,G33-F33)</f>
        <v>0</v>
      </c>
      <c r="M33" s="46" t="str">
        <f>IF($E$31="No","Answered",IF(ISBLANK(E33)=TRUE,"Not Started","Answered"))</f>
        <v>Not Started</v>
      </c>
    </row>
    <row r="34" spans="1:13" ht="30" x14ac:dyDescent="0.25">
      <c r="A34" s="38" t="s">
        <v>101</v>
      </c>
      <c r="B34" s="14" t="s">
        <v>106</v>
      </c>
      <c r="C34" s="31" t="s">
        <v>60</v>
      </c>
      <c r="D34" s="35" t="s">
        <v>107</v>
      </c>
      <c r="E34" s="36"/>
      <c r="F34" s="31">
        <f>IF(OR(E34="No",E34="N/A",E34=0), 0, IF(E34="Yes", G34,1))</f>
        <v>0</v>
      </c>
      <c r="G34" s="31">
        <f>IF(E34="N/A",0,IF(C34="Legal Issue", law_pts, IF(C34="Administrative Rules", gpm_pts, trng_pts)))</f>
        <v>2</v>
      </c>
      <c r="H34" s="16"/>
      <c r="J34" s="31" t="s">
        <v>39</v>
      </c>
      <c r="K34" s="31" t="str">
        <f>IF(OR(E34="", E34="N/A", E34="Yes"),"","Gap")</f>
        <v/>
      </c>
      <c r="L34" s="31">
        <f>IF(E34="",0,G34-F34)</f>
        <v>0</v>
      </c>
      <c r="M34" s="31" t="str">
        <f>IF(ISBLANK(E34)=TRUE,"Not Started","Answered")</f>
        <v>Not Started</v>
      </c>
    </row>
    <row r="35" spans="1:13" ht="18.75" x14ac:dyDescent="0.25">
      <c r="A35" s="126" t="s">
        <v>168</v>
      </c>
      <c r="B35" s="127"/>
      <c r="C35" s="127"/>
      <c r="D35" s="127"/>
      <c r="E35" s="127"/>
      <c r="F35" s="127"/>
      <c r="G35" s="127"/>
      <c r="H35" s="128"/>
      <c r="L35" s="31"/>
    </row>
    <row r="36" spans="1:13" ht="60" x14ac:dyDescent="0.25">
      <c r="A36" s="38" t="s">
        <v>105</v>
      </c>
      <c r="B36" s="14" t="s">
        <v>94</v>
      </c>
      <c r="C36" s="31" t="s">
        <v>60</v>
      </c>
      <c r="D36" s="35" t="s">
        <v>26</v>
      </c>
      <c r="E36" s="36"/>
      <c r="F36" s="31">
        <f t="shared" ref="F36:F37" si="28">IF(OR(E36="No",E36="N/A",E36=0), 0, IF(E36="Yes", G36,1))</f>
        <v>0</v>
      </c>
      <c r="G36" s="31">
        <f t="shared" ref="G36:G42" si="29">IF(E36="N/A",0,IF(C36="Legal Issue", law_pts, IF(C36="Administrative Rules", gpm_pts, trng_pts)))</f>
        <v>2</v>
      </c>
      <c r="H36" s="16"/>
      <c r="J36" s="31" t="s">
        <v>39</v>
      </c>
      <c r="K36" s="31" t="str">
        <f t="shared" ref="K36:K38" si="30">IF(OR(E36="", E36="N/A", E36="Yes"),"","Gap")</f>
        <v/>
      </c>
      <c r="L36" s="31">
        <f t="shared" ref="L36:L38" si="31">IF(E36="",0,G36-F36)</f>
        <v>0</v>
      </c>
      <c r="M36" s="31" t="str">
        <f t="shared" ref="M36:M38" si="32">IF(ISBLANK(E36)=TRUE,"Not Started","Answered")</f>
        <v>Not Started</v>
      </c>
    </row>
    <row r="37" spans="1:13" ht="45" x14ac:dyDescent="0.25">
      <c r="A37" s="38" t="s">
        <v>108</v>
      </c>
      <c r="B37" s="14" t="s">
        <v>96</v>
      </c>
      <c r="C37" s="31" t="s">
        <v>60</v>
      </c>
      <c r="D37" s="35" t="s">
        <v>24</v>
      </c>
      <c r="E37" s="36"/>
      <c r="F37" s="31">
        <f t="shared" si="28"/>
        <v>0</v>
      </c>
      <c r="G37" s="31">
        <f t="shared" si="29"/>
        <v>2</v>
      </c>
      <c r="H37" s="17"/>
      <c r="J37" s="31" t="s">
        <v>39</v>
      </c>
      <c r="K37" s="31" t="str">
        <f t="shared" si="30"/>
        <v/>
      </c>
      <c r="L37" s="31">
        <f t="shared" si="31"/>
        <v>0</v>
      </c>
      <c r="M37" s="31" t="str">
        <f t="shared" si="32"/>
        <v>Not Started</v>
      </c>
    </row>
    <row r="38" spans="1:13" ht="60" x14ac:dyDescent="0.25">
      <c r="A38" s="38" t="s">
        <v>110</v>
      </c>
      <c r="B38" s="14" t="s">
        <v>98</v>
      </c>
      <c r="C38" s="31" t="s">
        <v>60</v>
      </c>
      <c r="D38" s="35" t="s">
        <v>26</v>
      </c>
      <c r="E38" s="36"/>
      <c r="F38" s="31">
        <f t="shared" ref="F38" si="33">IF(OR(E38="No",E38="N/A",E38=0), 0, IF(E38="Yes", G38,1))</f>
        <v>0</v>
      </c>
      <c r="G38" s="31">
        <f t="shared" si="29"/>
        <v>2</v>
      </c>
      <c r="H38" s="32"/>
      <c r="J38" s="31" t="s">
        <v>39</v>
      </c>
      <c r="K38" s="31" t="str">
        <f t="shared" si="30"/>
        <v/>
      </c>
      <c r="L38" s="31">
        <f t="shared" si="31"/>
        <v>0</v>
      </c>
      <c r="M38" s="31" t="str">
        <f t="shared" si="32"/>
        <v>Not Started</v>
      </c>
    </row>
    <row r="39" spans="1:13" ht="45" x14ac:dyDescent="0.25">
      <c r="A39" s="38" t="s">
        <v>117</v>
      </c>
      <c r="B39" s="14" t="s">
        <v>100</v>
      </c>
      <c r="C39" s="31" t="s">
        <v>60</v>
      </c>
      <c r="D39" s="35" t="s">
        <v>26</v>
      </c>
      <c r="E39" s="36"/>
      <c r="F39" s="31">
        <f t="shared" ref="F39:F40" si="34">IF(OR(E39="No",E39="N/A",E39=0), 0, IF(E39="Yes", G39,1))</f>
        <v>0</v>
      </c>
      <c r="G39" s="31">
        <f t="shared" si="29"/>
        <v>2</v>
      </c>
      <c r="H39" s="16"/>
      <c r="J39" s="31" t="s">
        <v>39</v>
      </c>
      <c r="K39" s="31" t="str">
        <f t="shared" ref="K39:K45" si="35">IF(OR(E39="", E39="N/A", E39="Yes"),"","Gap")</f>
        <v/>
      </c>
      <c r="L39" s="31">
        <f t="shared" ref="L39:L45" si="36">IF(E39="",0,G39-F39)</f>
        <v>0</v>
      </c>
      <c r="M39" s="31" t="str">
        <f t="shared" ref="M39:M54" si="37">IF(ISBLANK(E39)=TRUE,"Not Started","Answered")</f>
        <v>Not Started</v>
      </c>
    </row>
    <row r="40" spans="1:13" ht="30" x14ac:dyDescent="0.25">
      <c r="A40" s="38" t="s">
        <v>118</v>
      </c>
      <c r="B40" s="14" t="s">
        <v>102</v>
      </c>
      <c r="C40" s="31" t="s">
        <v>60</v>
      </c>
      <c r="D40" s="35" t="s">
        <v>103</v>
      </c>
      <c r="E40" s="36"/>
      <c r="F40" s="31">
        <f t="shared" si="34"/>
        <v>0</v>
      </c>
      <c r="G40" s="31">
        <f t="shared" si="29"/>
        <v>2</v>
      </c>
      <c r="H40" s="16"/>
      <c r="J40" s="31" t="s">
        <v>39</v>
      </c>
      <c r="K40" s="31" t="str">
        <f t="shared" si="35"/>
        <v/>
      </c>
      <c r="L40" s="31">
        <f t="shared" si="36"/>
        <v>0</v>
      </c>
      <c r="M40" s="31" t="str">
        <f t="shared" si="37"/>
        <v>Not Started</v>
      </c>
    </row>
    <row r="41" spans="1:13" ht="30.75" customHeight="1" x14ac:dyDescent="0.25">
      <c r="A41" s="38" t="s">
        <v>129</v>
      </c>
      <c r="B41" s="14" t="s">
        <v>104</v>
      </c>
      <c r="C41" s="31" t="s">
        <v>20</v>
      </c>
      <c r="D41" s="35"/>
      <c r="E41" s="36"/>
      <c r="F41" s="31">
        <f t="shared" ref="F41:F53" si="38">IF(OR(E41="No",E41="N/A",E41=0), 0, IF(E41="Yes", G41,1))</f>
        <v>0</v>
      </c>
      <c r="G41" s="31">
        <f t="shared" si="29"/>
        <v>1</v>
      </c>
      <c r="H41" s="16"/>
      <c r="J41" s="31" t="s">
        <v>39</v>
      </c>
      <c r="K41" s="31" t="str">
        <f t="shared" si="35"/>
        <v/>
      </c>
      <c r="L41" s="31">
        <f t="shared" si="36"/>
        <v>0</v>
      </c>
      <c r="M41" s="31" t="str">
        <f t="shared" si="37"/>
        <v>Not Started</v>
      </c>
    </row>
    <row r="42" spans="1:13" ht="30" x14ac:dyDescent="0.25">
      <c r="A42" s="38" t="s">
        <v>130</v>
      </c>
      <c r="B42" s="14" t="s">
        <v>109</v>
      </c>
      <c r="C42" s="31" t="s">
        <v>20</v>
      </c>
      <c r="D42" s="35"/>
      <c r="E42" s="36"/>
      <c r="F42" s="31">
        <f t="shared" si="38"/>
        <v>0</v>
      </c>
      <c r="G42" s="31">
        <f t="shared" si="29"/>
        <v>1</v>
      </c>
      <c r="H42" s="16"/>
      <c r="J42" s="31" t="s">
        <v>39</v>
      </c>
      <c r="K42" s="31" t="str">
        <f t="shared" si="35"/>
        <v/>
      </c>
      <c r="L42" s="31">
        <f t="shared" si="36"/>
        <v>0</v>
      </c>
      <c r="M42" s="31" t="str">
        <f t="shared" si="37"/>
        <v>Not Started</v>
      </c>
    </row>
    <row r="43" spans="1:13" ht="18.75" x14ac:dyDescent="0.25">
      <c r="A43" s="126" t="s">
        <v>169</v>
      </c>
      <c r="B43" s="127"/>
      <c r="C43" s="127"/>
      <c r="D43" s="127"/>
      <c r="E43" s="127"/>
      <c r="F43" s="127"/>
      <c r="G43" s="127"/>
      <c r="H43" s="128"/>
      <c r="L43" s="31"/>
    </row>
    <row r="44" spans="1:13" ht="30" x14ac:dyDescent="0.25">
      <c r="A44" s="38" t="s">
        <v>131</v>
      </c>
      <c r="B44" s="14" t="s">
        <v>111</v>
      </c>
      <c r="C44" s="31" t="s">
        <v>60</v>
      </c>
      <c r="D44" s="35" t="s">
        <v>112</v>
      </c>
      <c r="E44" s="36"/>
      <c r="F44" s="31">
        <f t="shared" si="38"/>
        <v>0</v>
      </c>
      <c r="G44" s="31">
        <f t="shared" ref="G44:G49" si="39">IF(E44="N/A",0,IF(C44="Legal Issue", law_pts, IF(C44="Administrative Rules", gpm_pts, trng_pts)))</f>
        <v>2</v>
      </c>
      <c r="H44" s="16"/>
      <c r="J44" s="31" t="s">
        <v>39</v>
      </c>
      <c r="K44" s="31" t="str">
        <f t="shared" si="35"/>
        <v/>
      </c>
      <c r="L44" s="31">
        <f t="shared" si="36"/>
        <v>0</v>
      </c>
      <c r="M44" s="31" t="str">
        <f t="shared" si="37"/>
        <v>Not Started</v>
      </c>
    </row>
    <row r="45" spans="1:13" ht="45" x14ac:dyDescent="0.25">
      <c r="A45" s="38" t="s">
        <v>132</v>
      </c>
      <c r="B45" s="14" t="s">
        <v>199</v>
      </c>
      <c r="C45" s="31" t="s">
        <v>55</v>
      </c>
      <c r="D45" s="35" t="s">
        <v>28</v>
      </c>
      <c r="E45" s="36"/>
      <c r="F45" s="31">
        <f t="shared" si="38"/>
        <v>0</v>
      </c>
      <c r="G45" s="31">
        <f t="shared" si="39"/>
        <v>4</v>
      </c>
      <c r="H45" s="16"/>
      <c r="J45" s="31" t="s">
        <v>39</v>
      </c>
      <c r="K45" s="31" t="str">
        <f t="shared" si="35"/>
        <v/>
      </c>
      <c r="L45" s="31">
        <f t="shared" si="36"/>
        <v>0</v>
      </c>
      <c r="M45" s="31" t="str">
        <f t="shared" si="37"/>
        <v>Not Started</v>
      </c>
    </row>
    <row r="46" spans="1:13" ht="30" x14ac:dyDescent="0.25">
      <c r="A46" s="38" t="s">
        <v>133</v>
      </c>
      <c r="B46" s="14" t="s">
        <v>113</v>
      </c>
      <c r="C46" s="31" t="s">
        <v>60</v>
      </c>
      <c r="D46" s="35" t="s">
        <v>21</v>
      </c>
      <c r="E46" s="36"/>
      <c r="F46" s="31">
        <f t="shared" si="38"/>
        <v>0</v>
      </c>
      <c r="G46" s="31">
        <f t="shared" si="39"/>
        <v>2</v>
      </c>
      <c r="H46" s="16"/>
      <c r="J46" s="31" t="s">
        <v>39</v>
      </c>
      <c r="K46" s="31" t="str">
        <f t="shared" ref="K46" si="40">IF(OR(E46="", E46="N/A", E46="Yes"),"","Gap")</f>
        <v/>
      </c>
      <c r="L46" s="31">
        <f t="shared" ref="L46" si="41">IF(E46="",0,G46-F46)</f>
        <v>0</v>
      </c>
      <c r="M46" s="31" t="str">
        <f t="shared" ref="M46" si="42">IF(ISBLANK(E46)=TRUE,"Not Started","Answered")</f>
        <v>Not Started</v>
      </c>
    </row>
    <row r="47" spans="1:13" ht="30" x14ac:dyDescent="0.25">
      <c r="A47" s="38" t="s">
        <v>184</v>
      </c>
      <c r="B47" s="14" t="s">
        <v>77</v>
      </c>
      <c r="C47" s="31" t="s">
        <v>60</v>
      </c>
      <c r="D47" s="35" t="s">
        <v>22</v>
      </c>
      <c r="E47" s="36"/>
      <c r="F47" s="31">
        <f t="shared" si="38"/>
        <v>0</v>
      </c>
      <c r="G47" s="31">
        <f t="shared" si="39"/>
        <v>2</v>
      </c>
      <c r="H47" s="16"/>
      <c r="J47" s="31" t="s">
        <v>39</v>
      </c>
      <c r="K47" s="31" t="str">
        <f t="shared" ref="K47:K53" si="43">IF(OR(E47="", E47="N/A", E47="Yes"),"","Gap")</f>
        <v/>
      </c>
      <c r="L47" s="31">
        <f t="shared" ref="L47:L54" si="44">IF(E47="",0,G47-F47)</f>
        <v>0</v>
      </c>
      <c r="M47" s="31" t="str">
        <f t="shared" si="37"/>
        <v>Not Started</v>
      </c>
    </row>
    <row r="48" spans="1:13" ht="30" x14ac:dyDescent="0.25">
      <c r="A48" s="38" t="s">
        <v>197</v>
      </c>
      <c r="B48" s="14" t="s">
        <v>114</v>
      </c>
      <c r="C48" s="31" t="s">
        <v>60</v>
      </c>
      <c r="D48" s="35" t="s">
        <v>75</v>
      </c>
      <c r="E48" s="36"/>
      <c r="F48" s="31">
        <f t="shared" si="38"/>
        <v>0</v>
      </c>
      <c r="G48" s="31">
        <f t="shared" si="39"/>
        <v>2</v>
      </c>
      <c r="H48" s="16"/>
      <c r="J48" s="31" t="s">
        <v>39</v>
      </c>
      <c r="K48" s="31" t="str">
        <f t="shared" si="43"/>
        <v/>
      </c>
      <c r="L48" s="31">
        <f t="shared" si="44"/>
        <v>0</v>
      </c>
      <c r="M48" s="31" t="str">
        <f t="shared" si="37"/>
        <v>Not Started</v>
      </c>
    </row>
    <row r="49" spans="1:13" ht="30" x14ac:dyDescent="0.25">
      <c r="A49" s="38" t="s">
        <v>134</v>
      </c>
      <c r="B49" s="14" t="s">
        <v>115</v>
      </c>
      <c r="C49" s="31" t="s">
        <v>60</v>
      </c>
      <c r="D49" s="35" t="s">
        <v>116</v>
      </c>
      <c r="E49" s="36"/>
      <c r="F49" s="31">
        <f t="shared" si="38"/>
        <v>0</v>
      </c>
      <c r="G49" s="31">
        <f t="shared" si="39"/>
        <v>2</v>
      </c>
      <c r="H49" s="16"/>
      <c r="J49" s="31" t="s">
        <v>39</v>
      </c>
      <c r="K49" s="31" t="str">
        <f t="shared" si="43"/>
        <v/>
      </c>
      <c r="L49" s="31">
        <f t="shared" si="44"/>
        <v>0</v>
      </c>
      <c r="M49" s="31" t="str">
        <f t="shared" si="37"/>
        <v>Not Started</v>
      </c>
    </row>
    <row r="50" spans="1:13" ht="30" x14ac:dyDescent="0.25">
      <c r="A50" s="38" t="s">
        <v>185</v>
      </c>
      <c r="B50" s="14" t="s">
        <v>4</v>
      </c>
      <c r="C50" s="31" t="s">
        <v>27</v>
      </c>
      <c r="D50" s="35" t="s">
        <v>59</v>
      </c>
      <c r="E50" s="36"/>
      <c r="F50" s="132" t="str">
        <f>IF(E50="","", IF(E50="Yes","Answer Questions 32a-c","Go to #33"))</f>
        <v/>
      </c>
      <c r="G50" s="133"/>
      <c r="H50" s="16"/>
      <c r="J50" s="134"/>
      <c r="K50" s="135"/>
      <c r="L50" s="135"/>
      <c r="M50" s="136"/>
    </row>
    <row r="51" spans="1:13" ht="30" x14ac:dyDescent="0.25">
      <c r="A51" s="39" t="s">
        <v>203</v>
      </c>
      <c r="B51" s="14" t="s">
        <v>135</v>
      </c>
      <c r="C51" s="31" t="s">
        <v>60</v>
      </c>
      <c r="D51" s="35" t="s">
        <v>32</v>
      </c>
      <c r="E51" s="36"/>
      <c r="F51" s="31">
        <f t="shared" si="38"/>
        <v>0</v>
      </c>
      <c r="G51" s="31">
        <f>IF(OR(E51="N/A",E$50="No"),0,IF(C51="Legal Issue",law_pts,IF(C51="Administrative Rules",gpm_pts,trng_pts)))</f>
        <v>2</v>
      </c>
      <c r="H51" s="17"/>
      <c r="J51" s="31" t="s">
        <v>39</v>
      </c>
      <c r="K51" s="31" t="str">
        <f t="shared" si="43"/>
        <v/>
      </c>
      <c r="L51" s="31">
        <f t="shared" si="44"/>
        <v>0</v>
      </c>
      <c r="M51" s="31" t="str">
        <f>IF($E$50="No","Answered", IF(ISBLANK(E51)=TRUE,"Not Started","Answered"))</f>
        <v>Not Started</v>
      </c>
    </row>
    <row r="52" spans="1:13" ht="30" x14ac:dyDescent="0.25">
      <c r="A52" s="39" t="s">
        <v>204</v>
      </c>
      <c r="B52" s="14" t="s">
        <v>16</v>
      </c>
      <c r="C52" s="31" t="s">
        <v>60</v>
      </c>
      <c r="D52" s="35" t="s">
        <v>32</v>
      </c>
      <c r="E52" s="36"/>
      <c r="F52" s="31">
        <f t="shared" si="38"/>
        <v>0</v>
      </c>
      <c r="G52" s="31">
        <f>IF(OR(E52="N/A",E$50="No"),0,IF(C52="Legal Issue",law_pts,IF(C52="Administrative Rules",gpm_pts,trng_pts)))</f>
        <v>2</v>
      </c>
      <c r="H52" s="17"/>
      <c r="J52" s="31" t="s">
        <v>39</v>
      </c>
      <c r="K52" s="31" t="str">
        <f t="shared" si="43"/>
        <v/>
      </c>
      <c r="L52" s="31">
        <f t="shared" si="44"/>
        <v>0</v>
      </c>
      <c r="M52" s="46" t="str">
        <f>IF($E$50="No","Answered", IF(ISBLANK(E52)=TRUE,"Not Started","Answered"))</f>
        <v>Not Started</v>
      </c>
    </row>
    <row r="53" spans="1:13" ht="30" x14ac:dyDescent="0.25">
      <c r="A53" s="39" t="s">
        <v>205</v>
      </c>
      <c r="B53" s="14" t="s">
        <v>17</v>
      </c>
      <c r="C53" s="31" t="s">
        <v>60</v>
      </c>
      <c r="D53" s="35" t="s">
        <v>29</v>
      </c>
      <c r="E53" s="36"/>
      <c r="F53" s="31">
        <f t="shared" si="38"/>
        <v>0</v>
      </c>
      <c r="G53" s="31">
        <f>IF(OR(E53="N/A",E$50="No"),0,IF(C53="Legal Issue",law_pts,IF(C53="Administrative Rules",gpm_pts,trng_pts)))</f>
        <v>2</v>
      </c>
      <c r="H53" s="17"/>
      <c r="J53" s="31" t="s">
        <v>39</v>
      </c>
      <c r="K53" s="31" t="str">
        <f t="shared" si="43"/>
        <v/>
      </c>
      <c r="L53" s="31">
        <f t="shared" si="44"/>
        <v>0</v>
      </c>
      <c r="M53" s="46" t="str">
        <f>IF($E$50="No","Answered", IF(ISBLANK(E53)=TRUE,"Not Started","Answered"))</f>
        <v>Not Started</v>
      </c>
    </row>
    <row r="54" spans="1:13" ht="30" x14ac:dyDescent="0.25">
      <c r="A54" s="38" t="s">
        <v>186</v>
      </c>
      <c r="B54" s="14" t="s">
        <v>119</v>
      </c>
      <c r="C54" s="31" t="s">
        <v>60</v>
      </c>
      <c r="D54" s="35" t="s">
        <v>33</v>
      </c>
      <c r="E54" s="36"/>
      <c r="F54" s="31">
        <f>IF(OR(E54="Yes",E54="N/A",E54=""), 0, IF(E54="No", G54,1))</f>
        <v>0</v>
      </c>
      <c r="G54" s="31">
        <f t="shared" ref="G54" si="45">IF(E54="N/A",0,IF(C54="Legal Issue", law_pts, IF(C54="Administrative Rules", gpm_pts, trng_pts)))</f>
        <v>2</v>
      </c>
      <c r="H54" s="17"/>
      <c r="J54" s="31" t="s">
        <v>39</v>
      </c>
      <c r="K54" s="31" t="str">
        <f>IF(OR(E54="", E54="N/A", E54="No"),"","Gap")</f>
        <v/>
      </c>
      <c r="L54" s="31">
        <f t="shared" si="44"/>
        <v>0</v>
      </c>
      <c r="M54" s="31" t="str">
        <f t="shared" si="37"/>
        <v>Not Started</v>
      </c>
    </row>
    <row r="55" spans="1:13" x14ac:dyDescent="0.25">
      <c r="B55" s="14"/>
    </row>
    <row r="56" spans="1:13" x14ac:dyDescent="0.25">
      <c r="B56" s="14"/>
    </row>
    <row r="57" spans="1:13" x14ac:dyDescent="0.25">
      <c r="B57" s="14"/>
    </row>
  </sheetData>
  <sheetProtection selectLockedCells="1"/>
  <mergeCells count="14">
    <mergeCell ref="J31:M31"/>
    <mergeCell ref="J50:M50"/>
    <mergeCell ref="J13:M13"/>
    <mergeCell ref="A1:H1"/>
    <mergeCell ref="A3:B3"/>
    <mergeCell ref="A2:H2"/>
    <mergeCell ref="F31:G31"/>
    <mergeCell ref="F50:G50"/>
    <mergeCell ref="F13:G13"/>
    <mergeCell ref="A4:H4"/>
    <mergeCell ref="A7:H7"/>
    <mergeCell ref="A35:H35"/>
    <mergeCell ref="A29:H29"/>
    <mergeCell ref="A43:H43"/>
  </mergeCells>
  <conditionalFormatting sqref="B12:B15 B24 B55:B57">
    <cfRule type="expression" dxfId="60" priority="88">
      <formula>A12="no"</formula>
    </cfRule>
  </conditionalFormatting>
  <conditionalFormatting sqref="B18">
    <cfRule type="expression" dxfId="59" priority="48">
      <formula>A18="no"</formula>
    </cfRule>
  </conditionalFormatting>
  <conditionalFormatting sqref="B37">
    <cfRule type="expression" dxfId="58" priority="33">
      <formula>A37="no"</formula>
    </cfRule>
  </conditionalFormatting>
  <conditionalFormatting sqref="B54">
    <cfRule type="expression" dxfId="57" priority="17">
      <formula>A54="no"</formula>
    </cfRule>
  </conditionalFormatting>
  <conditionalFormatting sqref="B5">
    <cfRule type="expression" dxfId="56" priority="59">
      <formula>A5="no"</formula>
    </cfRule>
  </conditionalFormatting>
  <conditionalFormatting sqref="B8">
    <cfRule type="expression" dxfId="55" priority="58">
      <formula>A8="no"</formula>
    </cfRule>
  </conditionalFormatting>
  <conditionalFormatting sqref="B17">
    <cfRule type="expression" dxfId="54" priority="57">
      <formula>A17="no"</formula>
    </cfRule>
  </conditionalFormatting>
  <conditionalFormatting sqref="B9">
    <cfRule type="expression" dxfId="53" priority="56">
      <formula>A9="no"</formula>
    </cfRule>
  </conditionalFormatting>
  <conditionalFormatting sqref="B10">
    <cfRule type="expression" dxfId="52" priority="55">
      <formula>A10="no"</formula>
    </cfRule>
  </conditionalFormatting>
  <conditionalFormatting sqref="B11">
    <cfRule type="expression" dxfId="51" priority="54">
      <formula>A11="no"</formula>
    </cfRule>
  </conditionalFormatting>
  <conditionalFormatting sqref="B21">
    <cfRule type="expression" dxfId="50" priority="46">
      <formula>A21="no"</formula>
    </cfRule>
  </conditionalFormatting>
  <conditionalFormatting sqref="B19">
    <cfRule type="expression" dxfId="49" priority="47">
      <formula>A19="no"</formula>
    </cfRule>
  </conditionalFormatting>
  <conditionalFormatting sqref="B16">
    <cfRule type="expression" dxfId="48" priority="45">
      <formula>A16="no"</formula>
    </cfRule>
  </conditionalFormatting>
  <conditionalFormatting sqref="B26">
    <cfRule type="expression" dxfId="47" priority="43">
      <formula>A26="no"</formula>
    </cfRule>
  </conditionalFormatting>
  <conditionalFormatting sqref="B27">
    <cfRule type="expression" dxfId="46" priority="42">
      <formula>A27="no"</formula>
    </cfRule>
  </conditionalFormatting>
  <conditionalFormatting sqref="B30">
    <cfRule type="expression" dxfId="45" priority="40">
      <formula>A30="no"</formula>
    </cfRule>
  </conditionalFormatting>
  <conditionalFormatting sqref="B42">
    <cfRule type="expression" dxfId="44" priority="27">
      <formula>A42="no"</formula>
    </cfRule>
  </conditionalFormatting>
  <conditionalFormatting sqref="B44">
    <cfRule type="expression" dxfId="43" priority="26">
      <formula>A44="no"</formula>
    </cfRule>
  </conditionalFormatting>
  <conditionalFormatting sqref="B48">
    <cfRule type="expression" dxfId="42" priority="22">
      <formula>A48="no"</formula>
    </cfRule>
  </conditionalFormatting>
  <conditionalFormatting sqref="B25">
    <cfRule type="expression" dxfId="41" priority="44">
      <formula>A25="no"</formula>
    </cfRule>
  </conditionalFormatting>
  <conditionalFormatting sqref="B51">
    <cfRule type="expression" dxfId="40" priority="19">
      <formula>A51="no"</formula>
    </cfRule>
  </conditionalFormatting>
  <conditionalFormatting sqref="B6">
    <cfRule type="expression" dxfId="39" priority="39">
      <formula>A6="no"</formula>
    </cfRule>
  </conditionalFormatting>
  <conditionalFormatting sqref="B31">
    <cfRule type="expression" dxfId="38" priority="38">
      <formula>A31="no"</formula>
    </cfRule>
  </conditionalFormatting>
  <conditionalFormatting sqref="B32">
    <cfRule type="expression" dxfId="37" priority="37">
      <formula>A32="no"</formula>
    </cfRule>
  </conditionalFormatting>
  <conditionalFormatting sqref="B33">
    <cfRule type="expression" dxfId="36" priority="36">
      <formula>A33="no"</formula>
    </cfRule>
  </conditionalFormatting>
  <conditionalFormatting sqref="B28">
    <cfRule type="expression" dxfId="35" priority="35">
      <formula>A28="no"</formula>
    </cfRule>
  </conditionalFormatting>
  <conditionalFormatting sqref="B36">
    <cfRule type="expression" dxfId="34" priority="34">
      <formula>A36="no"</formula>
    </cfRule>
  </conditionalFormatting>
  <conditionalFormatting sqref="B39">
    <cfRule type="expression" dxfId="33" priority="31">
      <formula>A39="no"</formula>
    </cfRule>
  </conditionalFormatting>
  <conditionalFormatting sqref="B38">
    <cfRule type="expression" dxfId="32" priority="32">
      <formula>A38="no"</formula>
    </cfRule>
  </conditionalFormatting>
  <conditionalFormatting sqref="B40">
    <cfRule type="expression" dxfId="31" priority="30">
      <formula>A40="no"</formula>
    </cfRule>
  </conditionalFormatting>
  <conditionalFormatting sqref="B41">
    <cfRule type="expression" dxfId="30" priority="29">
      <formula>A41="no"</formula>
    </cfRule>
  </conditionalFormatting>
  <conditionalFormatting sqref="B34">
    <cfRule type="expression" dxfId="29" priority="28">
      <formula>A34="no"</formula>
    </cfRule>
  </conditionalFormatting>
  <conditionalFormatting sqref="B45">
    <cfRule type="expression" dxfId="28" priority="25">
      <formula>A45="no"</formula>
    </cfRule>
  </conditionalFormatting>
  <conditionalFormatting sqref="B46">
    <cfRule type="expression" dxfId="27" priority="24">
      <formula>A46="no"</formula>
    </cfRule>
  </conditionalFormatting>
  <conditionalFormatting sqref="B49">
    <cfRule type="expression" dxfId="26" priority="21">
      <formula>A49="no"</formula>
    </cfRule>
  </conditionalFormatting>
  <conditionalFormatting sqref="B50">
    <cfRule type="expression" dxfId="25" priority="20">
      <formula>A50="no"</formula>
    </cfRule>
  </conditionalFormatting>
  <conditionalFormatting sqref="B52">
    <cfRule type="expression" dxfId="24" priority="18">
      <formula>A52="no"</formula>
    </cfRule>
  </conditionalFormatting>
  <conditionalFormatting sqref="B22">
    <cfRule type="expression" dxfId="23" priority="49">
      <formula>#REF!="no"</formula>
    </cfRule>
  </conditionalFormatting>
  <conditionalFormatting sqref="B23">
    <cfRule type="expression" dxfId="22" priority="51">
      <formula>A22="no"</formula>
    </cfRule>
  </conditionalFormatting>
  <conditionalFormatting sqref="B53">
    <cfRule type="expression" dxfId="21" priority="16">
      <formula>A53="no"</formula>
    </cfRule>
  </conditionalFormatting>
  <conditionalFormatting sqref="B20">
    <cfRule type="expression" dxfId="20" priority="14">
      <formula>A20="no"</formula>
    </cfRule>
  </conditionalFormatting>
  <conditionalFormatting sqref="J41 J34">
    <cfRule type="expression" dxfId="19" priority="10" stopIfTrue="1">
      <formula>#REF!="No"</formula>
    </cfRule>
  </conditionalFormatting>
  <conditionalFormatting sqref="E32:G33">
    <cfRule type="expression" dxfId="18" priority="4">
      <formula>$E$31="No"</formula>
    </cfRule>
  </conditionalFormatting>
  <conditionalFormatting sqref="E51:G53">
    <cfRule type="expression" dxfId="17" priority="3">
      <formula>$E$50="No"</formula>
    </cfRule>
  </conditionalFormatting>
  <conditionalFormatting sqref="B47">
    <cfRule type="expression" dxfId="16" priority="2">
      <formula>A46="no"</formula>
    </cfRule>
  </conditionalFormatting>
  <conditionalFormatting sqref="E14:E18">
    <cfRule type="expression" dxfId="15" priority="92">
      <formula>#REF!="No"</formula>
    </cfRule>
    <cfRule type="colorScale" priority="93">
      <colorScale>
        <cfvo type="min"/>
        <cfvo type="max"/>
        <color rgb="FFFF7128"/>
        <color rgb="FFFFEF9C"/>
      </colorScale>
    </cfRule>
  </conditionalFormatting>
  <conditionalFormatting sqref="E14:G18">
    <cfRule type="expression" dxfId="14" priority="1">
      <formula>$E$13="No"</formula>
    </cfRule>
  </conditionalFormatting>
  <dataValidations count="6">
    <dataValidation type="list" errorStyle="warning" allowBlank="1" showErrorMessage="1" errorTitle="Input Error" error="The value you entered is not valid for this cell.  Please try again." promptTitle="Compliance Level" prompt="Select value from the dropdown list." sqref="E11 E41 E50 E30:E32 E13 E24">
      <formula1>"Yes, No"</formula1>
    </dataValidation>
    <dataValidation type="list" errorStyle="warning" allowBlank="1" showErrorMessage="1" errorTitle="Input Error" error="The value you entered is not valid for this cell.  Please try again." promptTitle="Compliance Level" prompt="Select value from the dropdown list." sqref="E14 E51:E54 E23 E44:E49 E9:E10 E36:E40 E33:E34 E42 E5:E6 E17:E19 E25:E28">
      <formula1>"Yes, No, N/A"</formula1>
    </dataValidation>
    <dataValidation type="list" errorStyle="warning" allowBlank="1" showErrorMessage="1" errorTitle="Input Error" error="The value you entered is not valid for this cell.  Please try again." promptTitle="Compliance Level" prompt="Select value from the dropdown list." sqref="E20 E8 E12">
      <formula1>"Yes, No, Needs Improvement"</formula1>
    </dataValidation>
    <dataValidation type="list" errorStyle="warning" allowBlank="1" showErrorMessage="1" errorTitle="Input Error" error="The value you entered is not valid for this cell.  Please try again." promptTitle="Compliance Level" prompt="Select value from the dropdown list." sqref="E15 E21">
      <formula1>"Yes, No, N/A, Needs Improvement"</formula1>
    </dataValidation>
    <dataValidation type="list" errorStyle="warning" allowBlank="1" showErrorMessage="1" errorTitle="Input Error" error="The value you entered is not valid for this cell.  Please try again." promptTitle="Compliance Level" prompt="Select value from the dropdown list." sqref="E22 E16">
      <formula1>"Yes, No, Needs Improvement, N/A"</formula1>
    </dataValidation>
    <dataValidation type="list" allowBlank="1" showInputMessage="1" showErrorMessage="1" sqref="C44:C54 C36:C42 C5:C6 C30:C34 C8:C28">
      <formula1>ref_type</formula1>
    </dataValidation>
  </dataValidations>
  <pageMargins left="0.5" right="0.25" top="0.75" bottom="0.75" header="0.3" footer="0.3"/>
  <pageSetup scale="77" fitToHeight="0" orientation="landscape" r:id="rId1"/>
  <headerFooter>
    <oddHeader>&amp;C&amp;F</oddHeader>
    <oddFooter>&amp;LCopyright © 2010 – DOAS State Purchasing Division&amp;C
Revised 09/29/16&amp;RPage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B1:F6"/>
  <sheetViews>
    <sheetView showRuler="0" zoomScaleNormal="100" workbookViewId="0">
      <selection activeCell="E14" sqref="E14"/>
    </sheetView>
  </sheetViews>
  <sheetFormatPr defaultColWidth="8.85546875" defaultRowHeight="12.75" x14ac:dyDescent="0.2"/>
  <cols>
    <col min="1" max="4" width="8.85546875" style="55" customWidth="1"/>
    <col min="5" max="5" width="77.5703125" style="55" bestFit="1" customWidth="1"/>
    <col min="6" max="6" width="8.85546875" style="55" customWidth="1"/>
    <col min="7" max="16384" width="8.85546875" style="55"/>
  </cols>
  <sheetData>
    <row r="1" spans="2:6" s="49" customFormat="1" ht="18.75" x14ac:dyDescent="0.2">
      <c r="B1" s="137" t="s">
        <v>6</v>
      </c>
      <c r="C1" s="137"/>
      <c r="D1" s="47"/>
      <c r="E1" s="47" t="s">
        <v>5</v>
      </c>
      <c r="F1" s="48"/>
    </row>
    <row r="2" spans="2:6" s="49" customFormat="1" ht="33.75" customHeight="1" x14ac:dyDescent="0.2">
      <c r="B2" s="138" t="s">
        <v>69</v>
      </c>
      <c r="C2" s="138"/>
      <c r="D2" s="50"/>
      <c r="E2" s="51" t="s">
        <v>43</v>
      </c>
      <c r="F2" s="48"/>
    </row>
    <row r="3" spans="2:6" s="49" customFormat="1" ht="21.75" customHeight="1" x14ac:dyDescent="0.2">
      <c r="B3" s="138"/>
      <c r="C3" s="138"/>
      <c r="D3" s="50"/>
      <c r="E3" s="52" t="s">
        <v>7</v>
      </c>
      <c r="F3" s="48"/>
    </row>
    <row r="4" spans="2:6" s="49" customFormat="1" ht="31.5" customHeight="1" x14ac:dyDescent="0.2">
      <c r="B4" s="138" t="s">
        <v>138</v>
      </c>
      <c r="C4" s="138"/>
      <c r="D4" s="50"/>
      <c r="E4" s="53" t="s">
        <v>42</v>
      </c>
      <c r="F4" s="48"/>
    </row>
    <row r="5" spans="2:6" s="49" customFormat="1" ht="37.5" customHeight="1" x14ac:dyDescent="0.2">
      <c r="B5" s="138"/>
      <c r="C5" s="138"/>
      <c r="D5" s="50"/>
      <c r="E5" s="54" t="s">
        <v>8</v>
      </c>
      <c r="F5" s="48"/>
    </row>
    <row r="6" spans="2:6" ht="16.5" customHeight="1" x14ac:dyDescent="0.2"/>
  </sheetData>
  <sheetProtection algorithmName="SHA-512" hashValue="DuMA0bO2rstMB4cWVCPZQ3byiWTAZiuuPFhp9oWNZPQ7Udk+r1zTFrD4+hvNylMxOYhkRc9p0bPVSrVlCHYFAQ==" saltValue="Ti6orFOOlLq2U7VoAo3KLw==" spinCount="100000" sheet="1" selectLockedCells="1"/>
  <mergeCells count="3">
    <mergeCell ref="B1:C1"/>
    <mergeCell ref="B2:C3"/>
    <mergeCell ref="B4:C5"/>
  </mergeCells>
  <hyperlinks>
    <hyperlink ref="E3" r:id="rId1"/>
    <hyperlink ref="E5" r:id="rId2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ASAssetContentType" ma:contentTypeID="0x010100B2029F26138C4BFDA158A626F91E876A00F98D543DB5F52847A9BB192F044EEE01" ma:contentTypeVersion="66" ma:contentTypeDescription="This is used to create DOAS Asset Library" ma:contentTypeScope="" ma:versionID="f63841302093815abb27a7258ac42c55">
  <xsd:schema xmlns:xsd="http://www.w3.org/2001/XMLSchema" xmlns:xs="http://www.w3.org/2001/XMLSchema" xmlns:p="http://schemas.microsoft.com/office/2006/metadata/properties" xmlns:ns2="0726195c-4e5f-403b-b0e6-5bc4fc6a495f" xmlns:ns3="64719721-3f2e-4037-a826-7fe00fbc2e3c" targetNamespace="http://schemas.microsoft.com/office/2006/metadata/properties" ma:root="true" ma:fieldsID="bc94845b17ff7bde581384e75a7ff5b5" ns2:_="" ns3:_="">
    <xsd:import namespace="0726195c-4e5f-403b-b0e6-5bc4fc6a495f"/>
    <xsd:import namespace="64719721-3f2e-4037-a826-7fe00fbc2e3c"/>
    <xsd:element name="properties">
      <xsd:complexType>
        <xsd:sequence>
          <xsd:element name="documentManagement">
            <xsd:complexType>
              <xsd:all>
                <xsd:element ref="ns2:CategoryDoc" minOccurs="0"/>
                <xsd:element ref="ns2:EffectiveDate"/>
                <xsd:element ref="ns2:DocumentDescription"/>
                <xsd:element ref="ns2:DisplayPriority" minOccurs="0"/>
                <xsd:element ref="ns3:b814ba249d91463a8222dc7318a2e120" minOccurs="0"/>
                <xsd:element ref="ns3:TaxCatchAll" minOccurs="0"/>
                <xsd:element ref="ns3:TaxCatchAllLabel" minOccurs="0"/>
                <xsd:element ref="ns3:TaxKeywordTaxHTField" minOccurs="0"/>
                <xsd:element ref="ns3:Divi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195c-4e5f-403b-b0e6-5bc4fc6a495f" elementFormDefault="qualified">
    <xsd:import namespace="http://schemas.microsoft.com/office/2006/documentManagement/types"/>
    <xsd:import namespace="http://schemas.microsoft.com/office/infopath/2007/PartnerControls"/>
    <xsd:element name="CategoryDoc" ma:index="8" nillable="true" ma:displayName="Document Category" ma:default="Additional Resources" ma:description="" ma:format="Dropdown" ma:internalName="CategoryDoc">
      <xsd:simpleType>
        <xsd:restriction base="dms:Choice">
          <xsd:enumeration value="Additional Resources"/>
          <xsd:enumeration value="Compliance Tools"/>
          <xsd:enumeration value="P-Card Tools"/>
        </xsd:restriction>
      </xsd:simpleType>
    </xsd:element>
    <xsd:element name="EffectiveDate" ma:index="9" ma:displayName="Effective Date" ma:default="[today]" ma:description="" ma:format="DateTime" ma:internalName="EffectiveDate">
      <xsd:simpleType>
        <xsd:restriction base="dms:DateTime"/>
      </xsd:simpleType>
    </xsd:element>
    <xsd:element name="DocumentDescription" ma:index="10" ma:displayName="Document Description" ma:description="Note" ma:internalName="DocumentDescription">
      <xsd:simpleType>
        <xsd:restriction base="dms:Note">
          <xsd:maxLength value="255"/>
        </xsd:restriction>
      </xsd:simpleType>
    </xsd:element>
    <xsd:element name="DisplayPriority" ma:index="11" nillable="true" ma:displayName="Display Priority" ma:internalName="DisplayPriority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19721-3f2e-4037-a826-7fe00fbc2e3c" elementFormDefault="qualified">
    <xsd:import namespace="http://schemas.microsoft.com/office/2006/documentManagement/types"/>
    <xsd:import namespace="http://schemas.microsoft.com/office/infopath/2007/PartnerControls"/>
    <xsd:element name="b814ba249d91463a8222dc7318a2e120" ma:index="12" ma:taxonomy="true" ma:internalName="b814ba249d91463a8222dc7318a2e120" ma:taxonomyFieldName="BusinessServices" ma:displayName="Business Services" ma:readOnly="false" ma:default="" ma:fieldId="{b814ba24-9d91-463a-8222-dc7318a2e120}" ma:sspId="24303319-78b4-4866-9de0-bde40737f1d8" ma:termSetId="c54f94ba-c49d-48e8-b789-4a89780f2686" ma:anchorId="3e0b3416-4f48-409d-9643-5ee8099d9f4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085d1ce-44a5-47b0-af7a-48aa3d02d715}" ma:internalName="TaxCatchAll" ma:showField="CatchAllData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085d1ce-44a5-47b0-af7a-48aa3d02d715}" ma:internalName="TaxCatchAllLabel" ma:readOnly="true" ma:showField="CatchAllDataLabel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ivision" ma:index="18" nillable="true" ma:displayName="Division" ma:description="" ma:internalName="Divi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axCatchAll xmlns="64719721-3f2e-4037-a826-7fe00fbc2e3c">
      <Value>20</Value>
    </TaxCatchAll>
    <EffectiveDate xmlns="0726195c-4e5f-403b-b0e6-5bc4fc6a495f">2016-09-27T20:08:00+00:00</EffectiveDate>
    <Division xmlns="64719721-3f2e-4037-a826-7fe00fbc2e3c">State Purchasing</Division>
    <CategoryDoc xmlns="0726195c-4e5f-403b-b0e6-5bc4fc6a495f">Compliance Tools</CategoryDoc>
    <b814ba249d91463a8222dc7318a2e120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Improvement Tools</TermName>
          <TermId xmlns="http://schemas.microsoft.com/office/infopath/2007/PartnerControls">803926a4-11ec-4cbe-8c32-5113c0cbbb39</TermId>
        </TermInfo>
      </Terms>
    </b814ba249d91463a8222dc7318a2e120>
    <DocumentDescription xmlns="0726195c-4e5f-403b-b0e6-5bc4fc6a495f">Excel tool that allows the reviewer to evaluate RFQ's by specific criteria - Georgia Law, GPM, Training, and Best Practices</DocumentDescription>
    <TaxKeywordTaxHTField xmlns="64719721-3f2e-4037-a826-7fe00fbc2e3c">
      <Terms xmlns="http://schemas.microsoft.com/office/infopath/2007/PartnerControls"/>
    </TaxKeywordTaxHTField>
    <DisplayPriority xmlns="0726195c-4e5f-403b-b0e6-5bc4fc6a495f" xsi:nil="true"/>
  </documentManagement>
</p:properties>
</file>

<file path=customXml/item3.xml><?xml version="1.0" encoding="utf-8"?>
<?mso-contentType ?>
<SharedContentType xmlns="Microsoft.SharePoint.Taxonomy.ContentTypeSync" SourceId="24303319-78b4-4866-9de0-bde40737f1d8" ContentTypeId="0x010100B2029F26138C4BFDA158A626F91E876A" PreviousValue="false"/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9D7B8D-61B0-41CF-8992-5E44E3CFE829}"/>
</file>

<file path=customXml/itemProps2.xml><?xml version="1.0" encoding="utf-8"?>
<ds:datastoreItem xmlns:ds="http://schemas.openxmlformats.org/officeDocument/2006/customXml" ds:itemID="{D1AF0728-DFFB-4DF9-9A11-40A5D7FAC51E}"/>
</file>

<file path=customXml/itemProps3.xml><?xml version="1.0" encoding="utf-8"?>
<ds:datastoreItem xmlns:ds="http://schemas.openxmlformats.org/officeDocument/2006/customXml" ds:itemID="{3C6F2B3F-C625-4EBC-A9F6-033FD2ECBE1D}"/>
</file>

<file path=customXml/itemProps4.xml><?xml version="1.0" encoding="utf-8"?>
<ds:datastoreItem xmlns:ds="http://schemas.openxmlformats.org/officeDocument/2006/customXml" ds:itemID="{A6689099-7071-4936-802D-A158C89C0867}"/>
</file>

<file path=customXml/itemProps5.xml><?xml version="1.0" encoding="utf-8"?>
<ds:datastoreItem xmlns:ds="http://schemas.openxmlformats.org/officeDocument/2006/customXml" ds:itemID="{0698F239-2ECF-437E-B43A-14BC52BC10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Solicitation Information</vt:lpstr>
      <vt:lpstr>RFQ Scorecard</vt:lpstr>
      <vt:lpstr>Resources</vt:lpstr>
      <vt:lpstr>answer_status</vt:lpstr>
      <vt:lpstr>comp_level</vt:lpstr>
      <vt:lpstr>drop_downs</vt:lpstr>
      <vt:lpstr>gap</vt:lpstr>
      <vt:lpstr>gpm_pts</vt:lpstr>
      <vt:lpstr>law_pts</vt:lpstr>
      <vt:lpstr>lost</vt:lpstr>
      <vt:lpstr>max_score</vt:lpstr>
      <vt:lpstr>not_started</vt:lpstr>
      <vt:lpstr>optional</vt:lpstr>
      <vt:lpstr>'RFQ Scorecard'!Print_Area</vt:lpstr>
      <vt:lpstr>'Solicitation Information'!Print_Area</vt:lpstr>
      <vt:lpstr>'RFQ Scorecard'!Print_Titles</vt:lpstr>
      <vt:lpstr>ref_type</vt:lpstr>
      <vt:lpstr>reference</vt:lpstr>
      <vt:lpstr>score</vt:lpstr>
      <vt:lpstr>scored</vt:lpstr>
      <vt:lpstr>trng_pts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RFQ Scorecard - UPDATED</dc:title>
  <dc:creator>Maggie.Clarke@doas.ga.gov</dc:creator>
  <cp:keywords/>
  <cp:lastModifiedBy>Clarke, Maggie</cp:lastModifiedBy>
  <cp:lastPrinted>2017-02-27T19:39:17Z</cp:lastPrinted>
  <dcterms:created xsi:type="dcterms:W3CDTF">2015-07-07T13:28:52Z</dcterms:created>
  <dcterms:modified xsi:type="dcterms:W3CDTF">2017-11-14T13:26:02Z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0x010100B2029F26138C4BFDA158A626F91E876A00F98D543DB5F52847A9BB192F044EEE01</vt:lpwstr>
  </property>
  <property fmtid="{D5CDD505-2E9C-101B-9397-08002B2CF9AE}" pid="3" name="TaxKeyword">
    <vt:lpwstr/>
  </property>
  <property fmtid="{D5CDD505-2E9C-101B-9397-08002B2CF9AE}" pid="4" name="BusinessServices">
    <vt:lpwstr>20;#Process Improvement Tools|803926a4-11ec-4cbe-8c32-5113c0cbbb39</vt:lpwstr>
  </property>
  <property fmtid="{D5CDD505-2E9C-101B-9397-08002B2CF9AE}" pid="5" name="VideoType">
    <vt:lpwstr/>
  </property>
  <property fmtid="{D5CDD505-2E9C-101B-9397-08002B2CF9AE}" pid="6" name="ValidSession">
    <vt:lpwstr>False</vt:lpwstr>
  </property>
  <property fmtid="{D5CDD505-2E9C-101B-9397-08002B2CF9AE}" pid="7" name="_dlc_DocIdItemGuid">
    <vt:lpwstr>ecbf9e4e-81fd-4f0e-af28-94b1b09ca8f2</vt:lpwstr>
  </property>
  <property fmtid="{D5CDD505-2E9C-101B-9397-08002B2CF9AE}" pid="8" name="Order">
    <vt:r8>3400</vt:r8>
  </property>
  <property fmtid="{D5CDD505-2E9C-101B-9397-08002B2CF9AE}" pid="9" name="xd_ProgID">
    <vt:lpwstr/>
  </property>
  <property fmtid="{D5CDD505-2E9C-101B-9397-08002B2CF9AE}" pid="10" name="TemplateUrl">
    <vt:lpwstr/>
  </property>
</Properties>
</file>